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ukh\OneDrive\３回生実験\ph\"/>
    </mc:Choice>
  </mc:AlternateContent>
  <xr:revisionPtr revIDLastSave="14" documentId="11_BA9678E20DA0F3CDF87B570C05B002B1D2F31ED2" xr6:coauthVersionLast="45" xr6:coauthVersionMax="45" xr10:uidLastSave="{9A414938-7AF1-4C7E-BD7D-8A8F8B450DDE}"/>
  <bookViews>
    <workbookView xWindow="-120" yWindow="-120" windowWidth="29040" windowHeight="15840" xr2:uid="{00000000-000D-0000-FFFF-FFFF00000000}"/>
  </bookViews>
  <sheets>
    <sheet name="溶液調製" sheetId="1" r:id="rId1"/>
    <sheet name="酢酸希釈" sheetId="2" r:id="rId2"/>
    <sheet name="pH滴定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8" i="3" l="1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J20" i="1" l="1"/>
  <c r="B32" i="1" l="1"/>
  <c r="G76" i="3"/>
  <c r="O33" i="3"/>
  <c r="O25" i="3"/>
  <c r="O17" i="3"/>
  <c r="O10" i="3"/>
  <c r="O32" i="3" s="1"/>
  <c r="O9" i="3"/>
  <c r="O39" i="3"/>
  <c r="H68" i="3"/>
  <c r="G71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G39" i="2"/>
  <c r="G38" i="2"/>
  <c r="O40" i="3" l="1"/>
  <c r="O18" i="3"/>
  <c r="O26" i="3"/>
  <c r="O34" i="3"/>
  <c r="O19" i="3"/>
  <c r="O27" i="3"/>
  <c r="O35" i="3"/>
  <c r="O20" i="3"/>
  <c r="O28" i="3"/>
  <c r="O36" i="3"/>
  <c r="O13" i="3"/>
  <c r="O21" i="3"/>
  <c r="O29" i="3"/>
  <c r="O37" i="3"/>
  <c r="O14" i="3"/>
  <c r="O22" i="3"/>
  <c r="O30" i="3"/>
  <c r="O46" i="3"/>
  <c r="O45" i="3"/>
  <c r="O15" i="3"/>
  <c r="O23" i="3"/>
  <c r="O31" i="3"/>
  <c r="O38" i="3"/>
  <c r="O16" i="3"/>
  <c r="O24" i="3"/>
  <c r="I72" i="3"/>
  <c r="O42" i="3"/>
  <c r="O43" i="3"/>
  <c r="O44" i="3"/>
  <c r="O41" i="3"/>
  <c r="H22" i="2" l="1"/>
  <c r="G18" i="2"/>
  <c r="J16" i="1" l="1"/>
  <c r="B16" i="1" l="1"/>
  <c r="B23" i="1" s="1"/>
</calcChain>
</file>

<file path=xl/sharedStrings.xml><?xml version="1.0" encoding="utf-8"?>
<sst xmlns="http://schemas.openxmlformats.org/spreadsheetml/2006/main" count="86" uniqueCount="72">
  <si>
    <t>実験日</t>
    <rPh sb="0" eb="2">
      <t>ジッケン</t>
    </rPh>
    <rPh sb="2" eb="3">
      <t>ビ</t>
    </rPh>
    <phoneticPr fontId="2"/>
  </si>
  <si>
    <t>実験者</t>
    <rPh sb="0" eb="3">
      <t>ジッケンシャ</t>
    </rPh>
    <phoneticPr fontId="2"/>
  </si>
  <si>
    <t>面堂玖菜</t>
    <rPh sb="0" eb="1">
      <t>メン</t>
    </rPh>
    <rPh sb="1" eb="2">
      <t>ドウ</t>
    </rPh>
    <rPh sb="2" eb="3">
      <t>ク</t>
    </rPh>
    <rPh sb="3" eb="4">
      <t>ナ</t>
    </rPh>
    <phoneticPr fontId="2"/>
  </si>
  <si>
    <t>困田文太</t>
    <rPh sb="0" eb="1">
      <t>コマ</t>
    </rPh>
    <rPh sb="1" eb="2">
      <t>タ</t>
    </rPh>
    <rPh sb="2" eb="4">
      <t>ブンタ</t>
    </rPh>
    <phoneticPr fontId="2"/>
  </si>
  <si>
    <t>課題</t>
    <rPh sb="0" eb="2">
      <t>カダイ</t>
    </rPh>
    <phoneticPr fontId="1"/>
  </si>
  <si>
    <t>pH 酸</t>
    <rPh sb="3" eb="4">
      <t>サン</t>
    </rPh>
    <phoneticPr fontId="1"/>
  </si>
  <si>
    <t>2031年6月31日</t>
    <rPh sb="4" eb="5">
      <t>ネン</t>
    </rPh>
    <rPh sb="6" eb="7">
      <t>ガツ</t>
    </rPh>
    <rPh sb="9" eb="10">
      <t>ニチ</t>
    </rPh>
    <phoneticPr fontId="2"/>
  </si>
  <si>
    <t>調製時酢酸濃度</t>
    <rPh sb="0" eb="2">
      <t>チョウセイ</t>
    </rPh>
    <rPh sb="2" eb="3">
      <t>ジ</t>
    </rPh>
    <rPh sb="3" eb="5">
      <t>サクサン</t>
    </rPh>
    <rPh sb="5" eb="7">
      <t>ノウド</t>
    </rPh>
    <phoneticPr fontId="1"/>
  </si>
  <si>
    <t>はかり取った酢酸/g</t>
    <rPh sb="3" eb="4">
      <t>ト</t>
    </rPh>
    <rPh sb="6" eb="8">
      <t>サクサン</t>
    </rPh>
    <phoneticPr fontId="1"/>
  </si>
  <si>
    <t>0.2 mol/L塩酸調製</t>
    <rPh sb="9" eb="11">
      <t>エンサン</t>
    </rPh>
    <rPh sb="11" eb="13">
      <t>チョウセイ</t>
    </rPh>
    <phoneticPr fontId="1"/>
  </si>
  <si>
    <t>はかり取った標定済み5 mol/L塩酸 / g</t>
    <rPh sb="3" eb="4">
      <t>ト</t>
    </rPh>
    <rPh sb="6" eb="8">
      <t>ヒョウテイ</t>
    </rPh>
    <rPh sb="8" eb="9">
      <t>ズ</t>
    </rPh>
    <rPh sb="17" eb="19">
      <t>エンサン</t>
    </rPh>
    <phoneticPr fontId="1"/>
  </si>
  <si>
    <r>
      <t>5 mol/Lの塩酸密度 / g mL</t>
    </r>
    <r>
      <rPr>
        <vertAlign val="superscript"/>
        <sz val="11"/>
        <color theme="1"/>
        <rFont val="ＭＳ Ｐゴシック"/>
        <family val="3"/>
        <charset val="128"/>
        <scheme val="minor"/>
      </rPr>
      <t>-1</t>
    </r>
    <rPh sb="8" eb="10">
      <t>エンサン</t>
    </rPh>
    <rPh sb="10" eb="12">
      <t>ミツド</t>
    </rPh>
    <phoneticPr fontId="1"/>
  </si>
  <si>
    <r>
      <t>メスフラスコを用いて100 mLにした濃度 / mol L</t>
    </r>
    <r>
      <rPr>
        <vertAlign val="superscript"/>
        <sz val="11"/>
        <color theme="1"/>
        <rFont val="ＭＳ Ｐゴシック"/>
        <family val="3"/>
        <charset val="128"/>
        <scheme val="minor"/>
      </rPr>
      <t>-1</t>
    </r>
    <rPh sb="7" eb="8">
      <t>モチ</t>
    </rPh>
    <rPh sb="19" eb="21">
      <t>ノウド</t>
    </rPh>
    <phoneticPr fontId="1"/>
  </si>
  <si>
    <t>標定済み5 mol/L塩酸のファクター値</t>
    <rPh sb="0" eb="2">
      <t>ヒョウテイ</t>
    </rPh>
    <rPh sb="2" eb="3">
      <t>ズ</t>
    </rPh>
    <rPh sb="11" eb="13">
      <t>エンサン</t>
    </rPh>
    <rPh sb="19" eb="20">
      <t>アタイ</t>
    </rPh>
    <phoneticPr fontId="1"/>
  </si>
  <si>
    <t>pH</t>
    <phoneticPr fontId="1"/>
  </si>
  <si>
    <t>vNaOH/mL</t>
  </si>
  <si>
    <t>vNaOH/mL</t>
    <phoneticPr fontId="1"/>
  </si>
  <si>
    <t>目盛り/mL</t>
    <rPh sb="0" eb="2">
      <t>メモ</t>
    </rPh>
    <phoneticPr fontId="1"/>
  </si>
  <si>
    <t>水酸化ナトリウム濃度の決定</t>
    <rPh sb="0" eb="3">
      <t>スイサンカ</t>
    </rPh>
    <rPh sb="8" eb="10">
      <t>ノウド</t>
    </rPh>
    <rPh sb="11" eb="13">
      <t>ケッテイ</t>
    </rPh>
    <phoneticPr fontId="1"/>
  </si>
  <si>
    <t>水酸化ナトリウム溶液の滴定</t>
    <rPh sb="0" eb="3">
      <t>スイサンカ</t>
    </rPh>
    <rPh sb="8" eb="10">
      <t>ヨウエキ</t>
    </rPh>
    <rPh sb="11" eb="13">
      <t>テキテイ</t>
    </rPh>
    <phoneticPr fontId="1"/>
  </si>
  <si>
    <t>10.00 mLの塩酸の滴定に要した水酸化ナトリウム溶液/mL</t>
    <rPh sb="9" eb="11">
      <t>エンサン</t>
    </rPh>
    <rPh sb="12" eb="14">
      <t>テキテイ</t>
    </rPh>
    <rPh sb="15" eb="16">
      <t>ヨウ</t>
    </rPh>
    <rPh sb="18" eb="21">
      <t>スイサンカ</t>
    </rPh>
    <rPh sb="26" eb="28">
      <t>ヨウエキ</t>
    </rPh>
    <phoneticPr fontId="1"/>
  </si>
  <si>
    <r>
      <t>水酸化ナトリウム溶液の濃度/ mol L</t>
    </r>
    <r>
      <rPr>
        <vertAlign val="superscript"/>
        <sz val="11"/>
        <color theme="9" tint="-0.249977111117893"/>
        <rFont val="ＭＳ Ｐゴシック"/>
        <family val="3"/>
        <charset val="128"/>
        <scheme val="minor"/>
      </rPr>
      <t>-1</t>
    </r>
    <rPh sb="0" eb="3">
      <t>スイサンカ</t>
    </rPh>
    <rPh sb="8" eb="10">
      <t>ヨウエキ</t>
    </rPh>
    <rPh sb="11" eb="13">
      <t>ノウド</t>
    </rPh>
    <phoneticPr fontId="1"/>
  </si>
  <si>
    <t>c / M</t>
    <phoneticPr fontId="1"/>
  </si>
  <si>
    <r>
      <t>d / g mL</t>
    </r>
    <r>
      <rPr>
        <vertAlign val="superscript"/>
        <sz val="11"/>
        <color theme="1"/>
        <rFont val="ＭＳ Ｐゴシック"/>
        <family val="3"/>
        <charset val="128"/>
        <scheme val="minor"/>
      </rPr>
      <t>-1</t>
    </r>
    <phoneticPr fontId="1"/>
  </si>
  <si>
    <t>m/%</t>
    <phoneticPr fontId="1"/>
  </si>
  <si>
    <t>参考資料V-11 より20℃の塩酸の濃度と密度</t>
    <rPh sb="0" eb="2">
      <t>サンコウ</t>
    </rPh>
    <rPh sb="2" eb="4">
      <t>シリョウ</t>
    </rPh>
    <rPh sb="15" eb="17">
      <t>エンサン</t>
    </rPh>
    <rPh sb="18" eb="20">
      <t>ノウド</t>
    </rPh>
    <rPh sb="21" eb="23">
      <t>ミツド</t>
    </rPh>
    <phoneticPr fontId="1"/>
  </si>
  <si>
    <t>補間値</t>
    <rPh sb="0" eb="2">
      <t>ホカン</t>
    </rPh>
    <rPh sb="2" eb="3">
      <t>チ</t>
    </rPh>
    <phoneticPr fontId="1"/>
  </si>
  <si>
    <t>c /M</t>
    <phoneticPr fontId="1"/>
  </si>
  <si>
    <t>pH</t>
  </si>
  <si>
    <t>希釈回数</t>
    <rPh sb="0" eb="2">
      <t>キシャク</t>
    </rPh>
    <rPh sb="2" eb="4">
      <t>カイスウ</t>
    </rPh>
    <phoneticPr fontId="1"/>
  </si>
  <si>
    <t>酢酸の希釈</t>
    <rPh sb="0" eb="2">
      <t>サクサン</t>
    </rPh>
    <rPh sb="3" eb="5">
      <t>キシャク</t>
    </rPh>
    <phoneticPr fontId="1"/>
  </si>
  <si>
    <t>塩酸の希釈</t>
    <rPh sb="0" eb="2">
      <t>エンサン</t>
    </rPh>
    <rPh sb="3" eb="5">
      <t>キシャク</t>
    </rPh>
    <phoneticPr fontId="1"/>
  </si>
  <si>
    <r>
      <t>元の塩酸濃度 / mol L</t>
    </r>
    <r>
      <rPr>
        <vertAlign val="superscript"/>
        <sz val="11"/>
        <color theme="1"/>
        <rFont val="ＭＳ Ｐゴシック"/>
        <family val="3"/>
        <charset val="128"/>
        <scheme val="minor"/>
      </rPr>
      <t>-1</t>
    </r>
    <rPh sb="0" eb="1">
      <t>モト</t>
    </rPh>
    <rPh sb="2" eb="4">
      <t>エンサン</t>
    </rPh>
    <rPh sb="4" eb="6">
      <t>ノウド</t>
    </rPh>
    <phoneticPr fontId="1"/>
  </si>
  <si>
    <t>希釈回数n</t>
    <rPh sb="0" eb="2">
      <t>キシャク</t>
    </rPh>
    <rPh sb="2" eb="4">
      <t>カイスウ</t>
    </rPh>
    <phoneticPr fontId="1"/>
  </si>
  <si>
    <t>pH = a n + b</t>
    <phoneticPr fontId="1"/>
  </si>
  <si>
    <t>a</t>
    <phoneticPr fontId="1"/>
  </si>
  <si>
    <t>b</t>
    <phoneticPr fontId="1"/>
  </si>
  <si>
    <r>
      <t>元の酢酸濃度 c</t>
    </r>
    <r>
      <rPr>
        <vertAlign val="subscript"/>
        <sz val="11"/>
        <color theme="1"/>
        <rFont val="ＭＳ Ｐゴシック"/>
        <family val="3"/>
        <charset val="128"/>
        <scheme val="minor"/>
      </rPr>
      <t>0</t>
    </r>
    <r>
      <rPr>
        <sz val="11"/>
        <color theme="1"/>
        <rFont val="ＭＳ Ｐゴシック"/>
        <family val="2"/>
        <charset val="128"/>
        <scheme val="minor"/>
      </rPr>
      <t xml:space="preserve"> / mol L</t>
    </r>
    <r>
      <rPr>
        <vertAlign val="superscript"/>
        <sz val="11"/>
        <color theme="1"/>
        <rFont val="ＭＳ Ｐゴシック"/>
        <family val="3"/>
        <charset val="128"/>
        <scheme val="minor"/>
      </rPr>
      <t>-1</t>
    </r>
    <rPh sb="0" eb="1">
      <t>モト</t>
    </rPh>
    <rPh sb="2" eb="4">
      <t>サクサン</t>
    </rPh>
    <rPh sb="4" eb="6">
      <t>ノウド</t>
    </rPh>
    <phoneticPr fontId="1"/>
  </si>
  <si>
    <t>2pH = pK - log c が成立するなら c = c0/n だから、</t>
    <rPh sb="18" eb="20">
      <t>セイリツ</t>
    </rPh>
    <phoneticPr fontId="1"/>
  </si>
  <si>
    <r>
      <t>pH = [(log 2)/2] n + (pK - log c</t>
    </r>
    <r>
      <rPr>
        <vertAlign val="subscript"/>
        <sz val="11"/>
        <color theme="1"/>
        <rFont val="ＭＳ Ｐゴシック"/>
        <family val="3"/>
        <charset val="128"/>
        <scheme val="minor"/>
      </rPr>
      <t>0</t>
    </r>
    <r>
      <rPr>
        <sz val="11"/>
        <color theme="1"/>
        <rFont val="ＭＳ Ｐゴシック"/>
        <family val="2"/>
        <charset val="128"/>
        <scheme val="minor"/>
      </rPr>
      <t>)/2</t>
    </r>
    <phoneticPr fontId="1"/>
  </si>
  <si>
    <r>
      <t>(pK - log c</t>
    </r>
    <r>
      <rPr>
        <vertAlign val="subscript"/>
        <sz val="11"/>
        <color theme="1"/>
        <rFont val="ＭＳ Ｐゴシック"/>
        <family val="3"/>
        <charset val="128"/>
        <scheme val="minor"/>
      </rPr>
      <t>0</t>
    </r>
    <r>
      <rPr>
        <sz val="11"/>
        <color theme="1"/>
        <rFont val="ＭＳ Ｐゴシック"/>
        <family val="2"/>
        <charset val="128"/>
        <scheme val="minor"/>
      </rPr>
      <t>)/2</t>
    </r>
    <phoneticPr fontId="1"/>
  </si>
  <si>
    <t>pKa</t>
    <phoneticPr fontId="1"/>
  </si>
  <si>
    <t>実験と一致</t>
    <rPh sb="0" eb="2">
      <t>ジッケン</t>
    </rPh>
    <rPh sb="3" eb="5">
      <t>イッチ</t>
    </rPh>
    <phoneticPr fontId="1"/>
  </si>
  <si>
    <t>酢酸の酸解離定数は</t>
    <rPh sb="0" eb="2">
      <t>サクサン</t>
    </rPh>
    <rPh sb="3" eb="4">
      <t>サン</t>
    </rPh>
    <rPh sb="4" eb="6">
      <t>カイリ</t>
    </rPh>
    <rPh sb="6" eb="8">
      <t>テイスウ</t>
    </rPh>
    <phoneticPr fontId="1"/>
  </si>
  <si>
    <r>
      <t>pH = (log 2) n - log c</t>
    </r>
    <r>
      <rPr>
        <vertAlign val="subscript"/>
        <sz val="11"/>
        <color theme="1"/>
        <rFont val="ＭＳ Ｐゴシック"/>
        <family val="3"/>
        <charset val="128"/>
        <scheme val="minor"/>
      </rPr>
      <t>0</t>
    </r>
    <phoneticPr fontId="1"/>
  </si>
  <si>
    <t>興味のある人はもっと希釈回数を増やして実験してみよう！</t>
    <rPh sb="0" eb="2">
      <t>キョウミ</t>
    </rPh>
    <rPh sb="5" eb="6">
      <t>ヒト</t>
    </rPh>
    <rPh sb="10" eb="12">
      <t>キシャク</t>
    </rPh>
    <rPh sb="12" eb="14">
      <t>カイスウ</t>
    </rPh>
    <rPh sb="15" eb="16">
      <t>フ</t>
    </rPh>
    <rPh sb="19" eb="21">
      <t>ジッケン</t>
    </rPh>
    <phoneticPr fontId="1"/>
  </si>
  <si>
    <t>実験より 0.1 ほど小さい</t>
    <rPh sb="0" eb="2">
      <t>ジッケン</t>
    </rPh>
    <rPh sb="11" eb="12">
      <t>チイ</t>
    </rPh>
    <phoneticPr fontId="1"/>
  </si>
  <si>
    <t>実験より10%程度大きい</t>
    <rPh sb="0" eb="2">
      <t>ジッケン</t>
    </rPh>
    <rPh sb="7" eb="9">
      <t>テイド</t>
    </rPh>
    <rPh sb="9" eb="10">
      <t>オオ</t>
    </rPh>
    <phoneticPr fontId="1"/>
  </si>
  <si>
    <r>
      <t>水酸化ナトリウム濃度/mol L</t>
    </r>
    <r>
      <rPr>
        <vertAlign val="superscript"/>
        <sz val="11"/>
        <color theme="1"/>
        <rFont val="ＭＳ Ｐゴシック"/>
        <family val="3"/>
        <charset val="128"/>
        <scheme val="minor"/>
      </rPr>
      <t>-1</t>
    </r>
    <rPh sb="0" eb="3">
      <t>スイサンカ</t>
    </rPh>
    <rPh sb="8" eb="10">
      <t>ノウド</t>
    </rPh>
    <phoneticPr fontId="1"/>
  </si>
  <si>
    <t>最初に取った水の量/mL</t>
    <rPh sb="0" eb="2">
      <t>サイショ</t>
    </rPh>
    <rPh sb="3" eb="4">
      <t>ト</t>
    </rPh>
    <rPh sb="6" eb="7">
      <t>ミズ</t>
    </rPh>
    <rPh sb="8" eb="9">
      <t>リョウ</t>
    </rPh>
    <phoneticPr fontId="1"/>
  </si>
  <si>
    <t>加えた0.1 M酢酸の量/mL</t>
    <rPh sb="0" eb="1">
      <t>クワ</t>
    </rPh>
    <rPh sb="8" eb="10">
      <t>サクサン</t>
    </rPh>
    <rPh sb="11" eb="12">
      <t>リョウ</t>
    </rPh>
    <phoneticPr fontId="1"/>
  </si>
  <si>
    <t>pH滴定</t>
    <rPh sb="2" eb="4">
      <t>テキテイ</t>
    </rPh>
    <phoneticPr fontId="1"/>
  </si>
  <si>
    <t>当量点の決定：Gran プロット</t>
    <rPh sb="0" eb="3">
      <t>トウリョウテン</t>
    </rPh>
    <rPh sb="4" eb="6">
      <t>ケッテイ</t>
    </rPh>
    <phoneticPr fontId="1"/>
  </si>
  <si>
    <r>
      <t>v</t>
    </r>
    <r>
      <rPr>
        <vertAlign val="subscript"/>
        <sz val="11"/>
        <color theme="1"/>
        <rFont val="ＭＳ Ｐゴシック"/>
        <family val="3"/>
        <charset val="128"/>
        <scheme val="minor"/>
      </rPr>
      <t>NaOH</t>
    </r>
    <r>
      <rPr>
        <sz val="11"/>
        <color theme="1"/>
        <rFont val="ＭＳ Ｐゴシック"/>
        <family val="2"/>
        <charset val="128"/>
        <scheme val="minor"/>
      </rPr>
      <t xml:space="preserve"> [H</t>
    </r>
    <r>
      <rPr>
        <vertAlign val="superscript"/>
        <sz val="11"/>
        <color theme="1"/>
        <rFont val="ＭＳ Ｐゴシック"/>
        <family val="3"/>
        <charset val="128"/>
        <scheme val="minor"/>
      </rPr>
      <t>+</t>
    </r>
    <r>
      <rPr>
        <sz val="11"/>
        <color theme="1"/>
        <rFont val="ＭＳ Ｐゴシック"/>
        <family val="2"/>
        <charset val="128"/>
        <scheme val="minor"/>
      </rPr>
      <t>]</t>
    </r>
    <phoneticPr fontId="1"/>
  </si>
  <si>
    <t>当量点/mL</t>
    <rPh sb="0" eb="3">
      <t>トウリョウテン</t>
    </rPh>
    <phoneticPr fontId="1"/>
  </si>
  <si>
    <r>
      <t>元の酢酸濃度/ mol L</t>
    </r>
    <r>
      <rPr>
        <vertAlign val="superscript"/>
        <sz val="11"/>
        <color theme="1"/>
        <rFont val="ＭＳ Ｐゴシック"/>
        <family val="3"/>
        <charset val="128"/>
        <scheme val="minor"/>
      </rPr>
      <t>-1</t>
    </r>
    <rPh sb="0" eb="1">
      <t>モト</t>
    </rPh>
    <rPh sb="2" eb="4">
      <t>サクサン</t>
    </rPh>
    <rPh sb="4" eb="6">
      <t>ノウド</t>
    </rPh>
    <phoneticPr fontId="1"/>
  </si>
  <si>
    <t>pH滴定で決定</t>
    <rPh sb="2" eb="4">
      <t>テキテイ</t>
    </rPh>
    <rPh sb="5" eb="7">
      <t>ケッテイ</t>
    </rPh>
    <phoneticPr fontId="1"/>
  </si>
  <si>
    <t>H-H</t>
    <phoneticPr fontId="1"/>
  </si>
  <si>
    <t>半当量点/mL</t>
    <rPh sb="0" eb="1">
      <t>ハン</t>
    </rPh>
    <rPh sb="1" eb="4">
      <t>トウリョウテン</t>
    </rPh>
    <phoneticPr fontId="1"/>
  </si>
  <si>
    <t>veq/mL</t>
    <phoneticPr fontId="1"/>
  </si>
  <si>
    <t>縦軸拡大率</t>
    <rPh sb="0" eb="2">
      <t>タテジク</t>
    </rPh>
    <rPh sb="2" eb="4">
      <t>カクダイ</t>
    </rPh>
    <rPh sb="4" eb="5">
      <t>リツ</t>
    </rPh>
    <phoneticPr fontId="1"/>
  </si>
  <si>
    <t>Gran プロットの直線部分の勾配がKaに相当することから算出</t>
    <rPh sb="10" eb="12">
      <t>チョクセン</t>
    </rPh>
    <rPh sb="12" eb="14">
      <t>ブブン</t>
    </rPh>
    <rPh sb="15" eb="17">
      <t>コウバイ</t>
    </rPh>
    <rPh sb="21" eb="23">
      <t>ソウトウ</t>
    </rPh>
    <rPh sb="29" eb="31">
      <t>サンシュツ</t>
    </rPh>
    <phoneticPr fontId="1"/>
  </si>
  <si>
    <t>実測のpH滴定曲線から半当量点におけるpHを読み取った。これを以下で採用</t>
    <rPh sb="0" eb="2">
      <t>ジッソク</t>
    </rPh>
    <rPh sb="5" eb="7">
      <t>テキテイ</t>
    </rPh>
    <rPh sb="7" eb="9">
      <t>キョクセン</t>
    </rPh>
    <rPh sb="11" eb="12">
      <t>ハン</t>
    </rPh>
    <rPh sb="12" eb="15">
      <t>トウリョウテン</t>
    </rPh>
    <rPh sb="22" eb="23">
      <t>ヨ</t>
    </rPh>
    <rPh sb="24" eb="25">
      <t>ト</t>
    </rPh>
    <rPh sb="31" eb="33">
      <t>イカ</t>
    </rPh>
    <rPh sb="34" eb="36">
      <t>サイヨウ</t>
    </rPh>
    <phoneticPr fontId="1"/>
  </si>
  <si>
    <t>mol/L</t>
    <phoneticPr fontId="1"/>
  </si>
  <si>
    <t>水と混合して250 mLにしたので、純度100%なら酢酸の分子量60.05なので</t>
    <rPh sb="0" eb="1">
      <t>ミズ</t>
    </rPh>
    <rPh sb="2" eb="4">
      <t>コンゴウ</t>
    </rPh>
    <rPh sb="18" eb="20">
      <t>ジュンド</t>
    </rPh>
    <rPh sb="26" eb="28">
      <t>サクサン</t>
    </rPh>
    <rPh sb="29" eb="32">
      <t>ブンシリョウ</t>
    </rPh>
    <phoneticPr fontId="1"/>
  </si>
  <si>
    <t>元の酢酸の純度は</t>
    <rPh sb="0" eb="1">
      <t>モト</t>
    </rPh>
    <rPh sb="2" eb="4">
      <t>サクサン</t>
    </rPh>
    <rPh sb="5" eb="7">
      <t>ジュンド</t>
    </rPh>
    <phoneticPr fontId="1"/>
  </si>
  <si>
    <r>
      <t>pH = - log c が成立するなら c = c</t>
    </r>
    <r>
      <rPr>
        <vertAlign val="subscript"/>
        <sz val="11"/>
        <color theme="1"/>
        <rFont val="ＭＳ Ｐゴシック"/>
        <family val="3"/>
        <charset val="128"/>
        <scheme val="minor"/>
      </rPr>
      <t>0</t>
    </r>
    <r>
      <rPr>
        <sz val="11"/>
        <color theme="1"/>
        <rFont val="ＭＳ Ｐゴシック"/>
        <family val="2"/>
        <charset val="128"/>
        <scheme val="minor"/>
      </rPr>
      <t>/2</t>
    </r>
    <r>
      <rPr>
        <vertAlign val="superscript"/>
        <sz val="11"/>
        <color theme="1"/>
        <rFont val="ＭＳ Ｐゴシック"/>
        <family val="3"/>
        <charset val="128"/>
        <scheme val="minor"/>
      </rPr>
      <t>n</t>
    </r>
    <r>
      <rPr>
        <sz val="11"/>
        <color theme="1"/>
        <rFont val="ＭＳ Ｐゴシック"/>
        <family val="2"/>
        <charset val="128"/>
        <scheme val="minor"/>
      </rPr>
      <t xml:space="preserve"> だから、</t>
    </r>
    <rPh sb="14" eb="16">
      <t>セイリツ</t>
    </rPh>
    <phoneticPr fontId="1"/>
  </si>
  <si>
    <t>こんなにしなくとも10%と20%の値から線形近似で可</t>
    <rPh sb="17" eb="18">
      <t>アタイ</t>
    </rPh>
    <rPh sb="20" eb="22">
      <t>センケイ</t>
    </rPh>
    <rPh sb="22" eb="24">
      <t>キンジ</t>
    </rPh>
    <rPh sb="25" eb="26">
      <t>カ</t>
    </rPh>
    <phoneticPr fontId="1"/>
  </si>
  <si>
    <t>2次関数に当てはめて推定</t>
    <rPh sb="1" eb="2">
      <t>ジ</t>
    </rPh>
    <rPh sb="2" eb="4">
      <t>カンスウ</t>
    </rPh>
    <rPh sb="5" eb="6">
      <t>ア</t>
    </rPh>
    <rPh sb="10" eb="12">
      <t>スイテイ</t>
    </rPh>
    <phoneticPr fontId="1"/>
  </si>
  <si>
    <t>pH(H-H)</t>
    <phoneticPr fontId="1"/>
  </si>
  <si>
    <t>vNaOH(H-H)</t>
    <phoneticPr fontId="1"/>
  </si>
  <si>
    <t>こうやった方がスマートかな？</t>
    <rPh sb="5" eb="6">
      <t>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</si>
</sst>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0.00_ "/>
    <numFmt numFmtId="178" formatCode="0.0000_ "/>
    <numFmt numFmtId="179" formatCode="0.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9" tint="-0.249977111117893"/>
      <name val="ＭＳ Ｐゴシック"/>
      <family val="2"/>
      <charset val="128"/>
      <scheme val="minor"/>
    </font>
    <font>
      <vertAlign val="superscript"/>
      <sz val="11"/>
      <color theme="9" tint="-0.249977111117893"/>
      <name val="ＭＳ Ｐゴシック"/>
      <family val="3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  <font>
      <sz val="11"/>
      <color theme="6" tint="-0.249977111117893"/>
      <name val="ＭＳ Ｐゴシック"/>
      <family val="2"/>
      <charset val="128"/>
      <scheme val="minor"/>
    </font>
    <font>
      <sz val="11"/>
      <color rgb="FF00B05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5" fillId="0" borderId="0" xfId="0" applyFont="1">
      <alignment vertical="center"/>
    </xf>
    <xf numFmtId="177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0" xfId="1">
      <alignment vertical="center"/>
    </xf>
    <xf numFmtId="0" fontId="6" fillId="0" borderId="0" xfId="0" applyFont="1">
      <alignment vertical="center"/>
    </xf>
    <xf numFmtId="178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1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9" fillId="0" borderId="0" xfId="0" applyFont="1">
      <alignment vertical="center"/>
    </xf>
    <xf numFmtId="177" fontId="4" fillId="0" borderId="0" xfId="0" applyNumberFormat="1" applyFont="1">
      <alignment vertical="center"/>
    </xf>
    <xf numFmtId="9" fontId="0" fillId="0" borderId="0" xfId="0" applyNumberFormat="1">
      <alignment vertical="center"/>
    </xf>
    <xf numFmtId="0" fontId="10" fillId="0" borderId="0" xfId="0" applyFont="1">
      <alignment vertical="center"/>
    </xf>
  </cellXfs>
  <cellStyles count="2">
    <cellStyle name="警告文" xfId="1" builtinId="1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溶液調製!$J$7</c:f>
              <c:strCache>
                <c:ptCount val="1"/>
                <c:pt idx="0">
                  <c:v>d / g mL-1</c:v>
                </c:pt>
              </c:strCache>
            </c:strRef>
          </c:tx>
          <c:trendline>
            <c:trendlineType val="poly"/>
            <c:order val="2"/>
            <c:dispRSqr val="0"/>
            <c:dispEq val="1"/>
            <c:trendlineLbl>
              <c:numFmt formatCode="General" sourceLinked="0"/>
            </c:trendlineLbl>
          </c:trendline>
          <c:xVal>
            <c:numRef>
              <c:f>溶液調製!$I$8:$I$12</c:f>
              <c:numCache>
                <c:formatCode>0.000_ </c:formatCode>
                <c:ptCount val="5"/>
                <c:pt idx="0">
                  <c:v>0</c:v>
                </c:pt>
                <c:pt idx="1">
                  <c:v>1.403</c:v>
                </c:pt>
                <c:pt idx="2">
                  <c:v>2.8730000000000002</c:v>
                </c:pt>
                <c:pt idx="3">
                  <c:v>6.0229999999999997</c:v>
                </c:pt>
                <c:pt idx="4">
                  <c:v>9.4559999999999995</c:v>
                </c:pt>
              </c:numCache>
            </c:numRef>
          </c:xVal>
          <c:yVal>
            <c:numRef>
              <c:f>溶液調製!$J$8:$J$12</c:f>
              <c:numCache>
                <c:formatCode>0.0000_ </c:formatCode>
                <c:ptCount val="5"/>
                <c:pt idx="0">
                  <c:v>0.99819999999999998</c:v>
                </c:pt>
                <c:pt idx="1">
                  <c:v>1.0227999999999999</c:v>
                </c:pt>
                <c:pt idx="2">
                  <c:v>1.0476000000000001</c:v>
                </c:pt>
                <c:pt idx="3">
                  <c:v>1.0980000000000001</c:v>
                </c:pt>
                <c:pt idx="4">
                  <c:v>1.1492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41-4124-917B-3C96361D5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620416"/>
        <c:axId val="232621952"/>
      </c:scatterChart>
      <c:valAx>
        <c:axId val="232620416"/>
        <c:scaling>
          <c:orientation val="minMax"/>
        </c:scaling>
        <c:delete val="0"/>
        <c:axPos val="b"/>
        <c:numFmt formatCode="0.000_ " sourceLinked="1"/>
        <c:majorTickMark val="out"/>
        <c:minorTickMark val="none"/>
        <c:tickLblPos val="nextTo"/>
        <c:crossAx val="232621952"/>
        <c:crosses val="autoZero"/>
        <c:crossBetween val="midCat"/>
      </c:valAx>
      <c:valAx>
        <c:axId val="232621952"/>
        <c:scaling>
          <c:orientation val="minMax"/>
        </c:scaling>
        <c:delete val="0"/>
        <c:axPos val="l"/>
        <c:majorGridlines/>
        <c:numFmt formatCode="0.0000_ " sourceLinked="1"/>
        <c:majorTickMark val="out"/>
        <c:minorTickMark val="none"/>
        <c:tickLblPos val="nextTo"/>
        <c:crossAx val="2326204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ja-JP" altLang="en-US" sz="1800"/>
              <a:t>酢酸</a:t>
            </a:r>
            <a:endParaRPr lang="en-US" altLang="en-US" sz="1800"/>
          </a:p>
        </c:rich>
      </c:tx>
      <c:layout>
        <c:manualLayout>
          <c:xMode val="edge"/>
          <c:yMode val="edge"/>
          <c:x val="0.67691983122362864"/>
          <c:y val="0.5735851329015532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93192464865943"/>
          <c:y val="5.7874335809175767E-2"/>
          <c:w val="0.79195853682846606"/>
          <c:h val="0.81607955869046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酢酸希釈!$D$7</c:f>
              <c:strCache>
                <c:ptCount val="1"/>
                <c:pt idx="0">
                  <c:v>pH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numFmt formatCode="General" sourceLinked="0"/>
            </c:trendlineLbl>
          </c:trendline>
          <c:xVal>
            <c:numRef>
              <c:f>酢酸希釈!$C$8:$C$13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酢酸希釈!$D$8:$D$13</c:f>
              <c:numCache>
                <c:formatCode>0.00_ </c:formatCode>
                <c:ptCount val="6"/>
                <c:pt idx="0">
                  <c:v>2.84</c:v>
                </c:pt>
                <c:pt idx="1">
                  <c:v>2.99</c:v>
                </c:pt>
                <c:pt idx="2">
                  <c:v>3.14</c:v>
                </c:pt>
                <c:pt idx="3">
                  <c:v>3.29</c:v>
                </c:pt>
                <c:pt idx="4">
                  <c:v>3.43</c:v>
                </c:pt>
                <c:pt idx="5">
                  <c:v>3.59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91-412A-B866-96331152C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651008"/>
        <c:axId val="232939520"/>
      </c:scatterChart>
      <c:valAx>
        <c:axId val="23265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2939520"/>
        <c:crosses val="autoZero"/>
        <c:crossBetween val="midCat"/>
      </c:valAx>
      <c:valAx>
        <c:axId val="232939520"/>
        <c:scaling>
          <c:orientation val="minMax"/>
          <c:min val="2.5"/>
        </c:scaling>
        <c:delete val="0"/>
        <c:axPos val="l"/>
        <c:majorGridlines/>
        <c:numFmt formatCode="0.00_ " sourceLinked="1"/>
        <c:majorTickMark val="out"/>
        <c:minorTickMark val="none"/>
        <c:tickLblPos val="nextTo"/>
        <c:crossAx val="2326510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塩酸</a:t>
            </a:r>
            <a:endParaRPr lang="en-US" altLang="en-US"/>
          </a:p>
        </c:rich>
      </c:tx>
      <c:layout>
        <c:manualLayout>
          <c:xMode val="edge"/>
          <c:yMode val="edge"/>
          <c:x val="0.60600204044261907"/>
          <c:y val="0.6282719059669891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305107682104197"/>
          <c:y val="4.1752753878738127E-2"/>
          <c:w val="0.78159102205247599"/>
          <c:h val="0.81592017923613569"/>
        </c:manualLayout>
      </c:layout>
      <c:scatterChart>
        <c:scatterStyle val="lineMarker"/>
        <c:varyColors val="0"/>
        <c:ser>
          <c:idx val="0"/>
          <c:order val="0"/>
          <c:tx>
            <c:strRef>
              <c:f>酢酸希釈!$D$27</c:f>
              <c:strCache>
                <c:ptCount val="1"/>
                <c:pt idx="0">
                  <c:v>pH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numFmt formatCode="General" sourceLinked="0"/>
            </c:trendlineLbl>
          </c:trendline>
          <c:xVal>
            <c:numRef>
              <c:f>酢酸希釈!$C$28:$C$33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酢酸希釈!$D$28:$D$33</c:f>
              <c:numCache>
                <c:formatCode>0.00_ </c:formatCode>
                <c:ptCount val="6"/>
                <c:pt idx="0">
                  <c:v>0.85</c:v>
                </c:pt>
                <c:pt idx="1">
                  <c:v>1.06</c:v>
                </c:pt>
                <c:pt idx="2">
                  <c:v>1.32</c:v>
                </c:pt>
                <c:pt idx="3">
                  <c:v>1.59</c:v>
                </c:pt>
                <c:pt idx="4">
                  <c:v>1.88</c:v>
                </c:pt>
                <c:pt idx="5">
                  <c:v>2.17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4E-465B-8B35-CD221F4D1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968576"/>
        <c:axId val="232970112"/>
      </c:scatterChart>
      <c:valAx>
        <c:axId val="23296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2970112"/>
        <c:crosses val="autoZero"/>
        <c:crossBetween val="midCat"/>
      </c:valAx>
      <c:valAx>
        <c:axId val="232970112"/>
        <c:scaling>
          <c:orientation val="minMax"/>
          <c:min val="0.5"/>
        </c:scaling>
        <c:delete val="0"/>
        <c:axPos val="l"/>
        <c:majorGridlines/>
        <c:numFmt formatCode="0.00_ " sourceLinked="1"/>
        <c:majorTickMark val="out"/>
        <c:minorTickMark val="none"/>
        <c:tickLblPos val="nextTo"/>
        <c:crossAx val="2329685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実測値</c:v>
          </c:tx>
          <c:spPr>
            <a:ln w="12700"/>
          </c:spPr>
          <c:marker>
            <c:symbol val="circle"/>
            <c:size val="7"/>
            <c:spPr>
              <a:solidFill>
                <a:schemeClr val="bg1"/>
              </a:solidFill>
              <a:ln w="12700"/>
            </c:spPr>
          </c:marker>
          <c:xVal>
            <c:numRef>
              <c:f>pH滴定!$D$12:$D$40</c:f>
              <c:numCache>
                <c:formatCode>0.00_ </c:formatCode>
                <c:ptCount val="29"/>
                <c:pt idx="0">
                  <c:v>0</c:v>
                </c:pt>
                <c:pt idx="1">
                  <c:v>0.12000000000000011</c:v>
                </c:pt>
                <c:pt idx="2">
                  <c:v>0.29999999999999982</c:v>
                </c:pt>
                <c:pt idx="3">
                  <c:v>0.49000000000000021</c:v>
                </c:pt>
                <c:pt idx="4">
                  <c:v>0.95000000000000018</c:v>
                </c:pt>
                <c:pt idx="5">
                  <c:v>1.4899999999999993</c:v>
                </c:pt>
                <c:pt idx="6">
                  <c:v>2.0000000000000009</c:v>
                </c:pt>
                <c:pt idx="7">
                  <c:v>2.5000000000000009</c:v>
                </c:pt>
                <c:pt idx="8">
                  <c:v>3.0000000000000009</c:v>
                </c:pt>
                <c:pt idx="9">
                  <c:v>3.55</c:v>
                </c:pt>
                <c:pt idx="10">
                  <c:v>4.0000000000000009</c:v>
                </c:pt>
                <c:pt idx="11">
                  <c:v>4.5000000000000009</c:v>
                </c:pt>
                <c:pt idx="12">
                  <c:v>5.0000000000000009</c:v>
                </c:pt>
                <c:pt idx="13">
                  <c:v>5.4899999999999993</c:v>
                </c:pt>
                <c:pt idx="14">
                  <c:v>6.0100000000000007</c:v>
                </c:pt>
                <c:pt idx="15">
                  <c:v>6.5000000000000009</c:v>
                </c:pt>
                <c:pt idx="16">
                  <c:v>7.0000000000000009</c:v>
                </c:pt>
                <c:pt idx="17">
                  <c:v>7.4899999999999993</c:v>
                </c:pt>
                <c:pt idx="18">
                  <c:v>7.97</c:v>
                </c:pt>
                <c:pt idx="19">
                  <c:v>8.5100000000000016</c:v>
                </c:pt>
                <c:pt idx="20">
                  <c:v>9</c:v>
                </c:pt>
                <c:pt idx="21">
                  <c:v>9.18</c:v>
                </c:pt>
                <c:pt idx="22">
                  <c:v>9.3499999999999979</c:v>
                </c:pt>
                <c:pt idx="23">
                  <c:v>9.5</c:v>
                </c:pt>
                <c:pt idx="24">
                  <c:v>9.5799999999999983</c:v>
                </c:pt>
                <c:pt idx="25">
                  <c:v>9.7100000000000009</c:v>
                </c:pt>
                <c:pt idx="26">
                  <c:v>9.91</c:v>
                </c:pt>
                <c:pt idx="27">
                  <c:v>10.3</c:v>
                </c:pt>
                <c:pt idx="28">
                  <c:v>10.649999999999999</c:v>
                </c:pt>
              </c:numCache>
            </c:numRef>
          </c:xVal>
          <c:yVal>
            <c:numRef>
              <c:f>pH滴定!$E$12:$E$40</c:f>
              <c:numCache>
                <c:formatCode>0.00_ </c:formatCode>
                <c:ptCount val="29"/>
                <c:pt idx="0">
                  <c:v>3.23</c:v>
                </c:pt>
                <c:pt idx="1">
                  <c:v>3.3</c:v>
                </c:pt>
                <c:pt idx="2">
                  <c:v>3.43</c:v>
                </c:pt>
                <c:pt idx="3">
                  <c:v>3.55</c:v>
                </c:pt>
                <c:pt idx="4">
                  <c:v>3.77</c:v>
                </c:pt>
                <c:pt idx="5">
                  <c:v>3.97</c:v>
                </c:pt>
                <c:pt idx="6">
                  <c:v>4.12</c:v>
                </c:pt>
                <c:pt idx="7">
                  <c:v>4.24</c:v>
                </c:pt>
                <c:pt idx="8">
                  <c:v>4.34</c:v>
                </c:pt>
                <c:pt idx="9">
                  <c:v>4.45</c:v>
                </c:pt>
                <c:pt idx="10">
                  <c:v>4.54</c:v>
                </c:pt>
                <c:pt idx="11">
                  <c:v>4.6399999999999997</c:v>
                </c:pt>
                <c:pt idx="12">
                  <c:v>4.72</c:v>
                </c:pt>
                <c:pt idx="13">
                  <c:v>4.8099999999999996</c:v>
                </c:pt>
                <c:pt idx="14">
                  <c:v>4.9000000000000004</c:v>
                </c:pt>
                <c:pt idx="15">
                  <c:v>5</c:v>
                </c:pt>
                <c:pt idx="16">
                  <c:v>5.1100000000000003</c:v>
                </c:pt>
                <c:pt idx="17">
                  <c:v>5.23</c:v>
                </c:pt>
                <c:pt idx="18">
                  <c:v>5.38</c:v>
                </c:pt>
                <c:pt idx="19">
                  <c:v>5.59</c:v>
                </c:pt>
                <c:pt idx="20">
                  <c:v>5.91</c:v>
                </c:pt>
                <c:pt idx="21">
                  <c:v>6.09</c:v>
                </c:pt>
                <c:pt idx="22">
                  <c:v>6.46</c:v>
                </c:pt>
                <c:pt idx="23">
                  <c:v>7.02</c:v>
                </c:pt>
                <c:pt idx="24">
                  <c:v>9.66</c:v>
                </c:pt>
                <c:pt idx="25">
                  <c:v>10.199999999999999</c:v>
                </c:pt>
                <c:pt idx="26">
                  <c:v>10.6</c:v>
                </c:pt>
                <c:pt idx="27">
                  <c:v>10.92</c:v>
                </c:pt>
                <c:pt idx="28">
                  <c:v>11.09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9EA-4D36-8CCA-4D9FD336E7F5}"/>
            </c:ext>
          </c:extLst>
        </c:ser>
        <c:ser>
          <c:idx val="1"/>
          <c:order val="1"/>
          <c:tx>
            <c:v>H-H式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pH滴定!$N$13:$N$46</c:f>
              <c:numCache>
                <c:formatCode>General</c:formatCode>
                <c:ptCount val="34"/>
                <c:pt idx="0">
                  <c:v>1E-4</c:v>
                </c:pt>
                <c:pt idx="1">
                  <c:v>1E-3</c:v>
                </c:pt>
                <c:pt idx="2">
                  <c:v>0.01</c:v>
                </c:pt>
                <c:pt idx="3">
                  <c:v>0.1</c:v>
                </c:pt>
                <c:pt idx="4">
                  <c:v>0.2</c:v>
                </c:pt>
                <c:pt idx="5">
                  <c:v>0.4</c:v>
                </c:pt>
                <c:pt idx="6">
                  <c:v>0.8</c:v>
                </c:pt>
                <c:pt idx="7">
                  <c:v>1.4</c:v>
                </c:pt>
                <c:pt idx="8">
                  <c:v>2</c:v>
                </c:pt>
                <c:pt idx="9">
                  <c:v>2.5</c:v>
                </c:pt>
                <c:pt idx="10">
                  <c:v>3</c:v>
                </c:pt>
                <c:pt idx="11">
                  <c:v>3.5</c:v>
                </c:pt>
                <c:pt idx="12">
                  <c:v>4</c:v>
                </c:pt>
                <c:pt idx="13">
                  <c:v>4.5</c:v>
                </c:pt>
                <c:pt idx="14">
                  <c:v>5</c:v>
                </c:pt>
                <c:pt idx="15">
                  <c:v>5.5</c:v>
                </c:pt>
                <c:pt idx="16">
                  <c:v>6</c:v>
                </c:pt>
                <c:pt idx="17">
                  <c:v>6.5</c:v>
                </c:pt>
                <c:pt idx="18">
                  <c:v>7</c:v>
                </c:pt>
                <c:pt idx="19">
                  <c:v>7.5</c:v>
                </c:pt>
                <c:pt idx="20">
                  <c:v>8</c:v>
                </c:pt>
                <c:pt idx="21">
                  <c:v>8.5</c:v>
                </c:pt>
                <c:pt idx="22">
                  <c:v>9</c:v>
                </c:pt>
                <c:pt idx="23">
                  <c:v>9.1</c:v>
                </c:pt>
                <c:pt idx="24">
                  <c:v>9.1999999999999993</c:v>
                </c:pt>
                <c:pt idx="25">
                  <c:v>9.3000000000000007</c:v>
                </c:pt>
                <c:pt idx="26">
                  <c:v>9.4</c:v>
                </c:pt>
                <c:pt idx="27">
                  <c:v>9.48</c:v>
                </c:pt>
                <c:pt idx="28">
                  <c:v>9.5</c:v>
                </c:pt>
                <c:pt idx="29">
                  <c:v>9.51</c:v>
                </c:pt>
                <c:pt idx="30">
                  <c:v>9.5190000000000001</c:v>
                </c:pt>
                <c:pt idx="31">
                  <c:v>9.5198999999999998</c:v>
                </c:pt>
                <c:pt idx="32">
                  <c:v>9.51999</c:v>
                </c:pt>
                <c:pt idx="33">
                  <c:v>9.5199990000000003</c:v>
                </c:pt>
              </c:numCache>
            </c:numRef>
          </c:xVal>
          <c:yVal>
            <c:numRef>
              <c:f>pH滴定!$O$13:$O$46</c:f>
              <c:numCache>
                <c:formatCode>0.0000_ </c:formatCode>
                <c:ptCount val="34"/>
                <c:pt idx="0">
                  <c:v>-0.29863238644368817</c:v>
                </c:pt>
                <c:pt idx="1">
                  <c:v>0.70140867317992495</c:v>
                </c:pt>
                <c:pt idx="2">
                  <c:v>1.7018194830625859</c:v>
                </c:pt>
                <c:pt idx="3">
                  <c:v>2.7059490972071223</c:v>
                </c:pt>
                <c:pt idx="4">
                  <c:v>3.0116140833099996</c:v>
                </c:pt>
                <c:pt idx="5">
                  <c:v>3.3220651529995457</c:v>
                </c:pt>
                <c:pt idx="6">
                  <c:v>3.6425735020593759</c:v>
                </c:pt>
                <c:pt idx="7">
                  <c:v>3.9165720064370624</c:v>
                </c:pt>
                <c:pt idx="8">
                  <c:v>4.1048121550723389</c:v>
                </c:pt>
                <c:pt idx="9">
                  <c:v>4.2316028965422321</c:v>
                </c:pt>
                <c:pt idx="10">
                  <c:v>4.3428736589877417</c:v>
                </c:pt>
                <c:pt idx="11">
                  <c:v>4.444471553092451</c:v>
                </c:pt>
                <c:pt idx="12">
                  <c:v>4.5401209135987637</c:v>
                </c:pt>
                <c:pt idx="13">
                  <c:v>4.632508796630324</c:v>
                </c:pt>
                <c:pt idx="14">
                  <c:v>4.7238315695246369</c:v>
                </c:pt>
                <c:pt idx="15">
                  <c:v>4.8161366364097731</c:v>
                </c:pt>
                <c:pt idx="16">
                  <c:v>4.9116085869055119</c:v>
                </c:pt>
                <c:pt idx="17">
                  <c:v>5.0129064136857044</c:v>
                </c:pt>
                <c:pt idx="18">
                  <c:v>5.1236974992327129</c:v>
                </c:pt>
                <c:pt idx="19">
                  <c:v>5.2497098939450764</c:v>
                </c:pt>
                <c:pt idx="20">
                  <c:v>5.4012463990471709</c:v>
                </c:pt>
                <c:pt idx="21">
                  <c:v>5.6008187539523746</c:v>
                </c:pt>
                <c:pt idx="22">
                  <c:v>5.9182391658045255</c:v>
                </c:pt>
                <c:pt idx="23">
                  <c:v>6.0157921019231928</c:v>
                </c:pt>
                <c:pt idx="24">
                  <c:v>6.138637849025649</c:v>
                </c:pt>
                <c:pt idx="25">
                  <c:v>6.3060602677317306</c:v>
                </c:pt>
                <c:pt idx="26">
                  <c:v>6.5739466075520765</c:v>
                </c:pt>
                <c:pt idx="27">
                  <c:v>7.054748346010113</c:v>
                </c:pt>
                <c:pt idx="28">
                  <c:v>7.356693609624875</c:v>
                </c:pt>
                <c:pt idx="29">
                  <c:v>7.6581805169374224</c:v>
                </c:pt>
                <c:pt idx="30">
                  <c:v>8.6585913268203143</c:v>
                </c:pt>
                <c:pt idx="31">
                  <c:v>9.658632386444701</c:v>
                </c:pt>
                <c:pt idx="32">
                  <c:v>10.658636492208993</c:v>
                </c:pt>
                <c:pt idx="33">
                  <c:v>11.658636903090329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9EA-4D36-8CCA-4D9FD336E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306752"/>
        <c:axId val="233046400"/>
      </c:scatterChart>
      <c:valAx>
        <c:axId val="233306752"/>
        <c:scaling>
          <c:orientation val="minMax"/>
          <c:max val="12"/>
          <c:min val="0"/>
        </c:scaling>
        <c:delete val="0"/>
        <c:axPos val="b"/>
        <c:numFmt formatCode="0.00_ " sourceLinked="1"/>
        <c:majorTickMark val="out"/>
        <c:minorTickMark val="none"/>
        <c:tickLblPos val="nextTo"/>
        <c:crossAx val="233046400"/>
        <c:crosses val="autoZero"/>
        <c:crossBetween val="midCat"/>
      </c:valAx>
      <c:valAx>
        <c:axId val="233046400"/>
        <c:scaling>
          <c:orientation val="minMax"/>
          <c:max val="12"/>
          <c:min val="0"/>
        </c:scaling>
        <c:delete val="0"/>
        <c:axPos val="l"/>
        <c:majorGridlines/>
        <c:numFmt formatCode="0.00_ " sourceLinked="1"/>
        <c:majorTickMark val="out"/>
        <c:minorTickMark val="none"/>
        <c:tickLblPos val="nextTo"/>
        <c:crossAx val="2333067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1937777777777784"/>
          <c:y val="0.1909274126652403"/>
          <c:w val="0.17777777777777778"/>
          <c:h val="0.11633557600808285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pH滴定!$C$63:$C$74</c:f>
              <c:numCache>
                <c:formatCode>0.00_ </c:formatCode>
                <c:ptCount val="12"/>
                <c:pt idx="0">
                  <c:v>7.0000000000000009</c:v>
                </c:pt>
                <c:pt idx="1">
                  <c:v>7.4899999999999993</c:v>
                </c:pt>
                <c:pt idx="2">
                  <c:v>7.97</c:v>
                </c:pt>
                <c:pt idx="3">
                  <c:v>8.5100000000000016</c:v>
                </c:pt>
                <c:pt idx="4">
                  <c:v>9</c:v>
                </c:pt>
                <c:pt idx="5">
                  <c:v>9.18</c:v>
                </c:pt>
                <c:pt idx="6">
                  <c:v>9.3499999999999979</c:v>
                </c:pt>
                <c:pt idx="7">
                  <c:v>9.5</c:v>
                </c:pt>
                <c:pt idx="8">
                  <c:v>9.5799999999999983</c:v>
                </c:pt>
                <c:pt idx="9">
                  <c:v>9.7100000000000009</c:v>
                </c:pt>
                <c:pt idx="10">
                  <c:v>9.91</c:v>
                </c:pt>
                <c:pt idx="11">
                  <c:v>10.3</c:v>
                </c:pt>
              </c:numCache>
            </c:numRef>
          </c:xVal>
          <c:yVal>
            <c:numRef>
              <c:f>pH滴定!$E$63:$E$74</c:f>
              <c:numCache>
                <c:formatCode>0.0_ </c:formatCode>
                <c:ptCount val="12"/>
                <c:pt idx="0">
                  <c:v>54.337298164008274</c:v>
                </c:pt>
                <c:pt idx="1">
                  <c:v>44.104389786133538</c:v>
                </c:pt>
                <c:pt idx="2">
                  <c:v>33.224489862585735</c:v>
                </c:pt>
                <c:pt idx="3">
                  <c:v>21.874068111362998</c:v>
                </c:pt>
                <c:pt idx="4">
                  <c:v>11.072418937311411</c:v>
                </c:pt>
                <c:pt idx="5">
                  <c:v>7.4617841383864283</c:v>
                </c:pt>
                <c:pt idx="6">
                  <c:v>3.2419895517311685</c:v>
                </c:pt>
                <c:pt idx="7">
                  <c:v>0.90724295672036381</c:v>
                </c:pt>
                <c:pt idx="8">
                  <c:v>2.0958756357436635E-3</c:v>
                </c:pt>
                <c:pt idx="9">
                  <c:v>6.126595814902663E-4</c:v>
                </c:pt>
                <c:pt idx="10">
                  <c:v>2.4892794536259899E-4</c:v>
                </c:pt>
                <c:pt idx="11">
                  <c:v>1.2383323676559325E-4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75-4F9A-8052-BB14EABA6B3A}"/>
            </c:ext>
          </c:extLst>
        </c:ser>
        <c:ser>
          <c:idx val="1"/>
          <c:order val="1"/>
          <c:tx>
            <c:v>直線領域</c:v>
          </c:tx>
          <c:spPr>
            <a:ln w="28575">
              <a:noFill/>
            </a:ln>
          </c:spPr>
          <c:marker>
            <c:symbol val="none"/>
          </c:marker>
          <c:trendline>
            <c:trendlineType val="linear"/>
            <c:dispRSqr val="0"/>
            <c:dispEq val="1"/>
            <c:trendlineLbl>
              <c:layout>
                <c:manualLayout>
                  <c:x val="-0.14887073490813649"/>
                  <c:y val="-0.1839967920676582"/>
                </c:manualLayout>
              </c:layout>
              <c:numFmt formatCode="General" sourceLinked="0"/>
            </c:trendlineLbl>
          </c:trendline>
          <c:xVal>
            <c:numRef>
              <c:f>pH滴定!$C$63:$C$70</c:f>
              <c:numCache>
                <c:formatCode>0.00_ </c:formatCode>
                <c:ptCount val="8"/>
                <c:pt idx="0">
                  <c:v>7.0000000000000009</c:v>
                </c:pt>
                <c:pt idx="1">
                  <c:v>7.4899999999999993</c:v>
                </c:pt>
                <c:pt idx="2">
                  <c:v>7.97</c:v>
                </c:pt>
                <c:pt idx="3">
                  <c:v>8.5100000000000016</c:v>
                </c:pt>
                <c:pt idx="4">
                  <c:v>9</c:v>
                </c:pt>
                <c:pt idx="5">
                  <c:v>9.18</c:v>
                </c:pt>
                <c:pt idx="6">
                  <c:v>9.3499999999999979</c:v>
                </c:pt>
                <c:pt idx="7">
                  <c:v>9.5</c:v>
                </c:pt>
              </c:numCache>
            </c:numRef>
          </c:xVal>
          <c:yVal>
            <c:numRef>
              <c:f>pH滴定!$E$63:$E$70</c:f>
              <c:numCache>
                <c:formatCode>0.0_ </c:formatCode>
                <c:ptCount val="8"/>
                <c:pt idx="0">
                  <c:v>54.337298164008274</c:v>
                </c:pt>
                <c:pt idx="1">
                  <c:v>44.104389786133538</c:v>
                </c:pt>
                <c:pt idx="2">
                  <c:v>33.224489862585735</c:v>
                </c:pt>
                <c:pt idx="3">
                  <c:v>21.874068111362998</c:v>
                </c:pt>
                <c:pt idx="4">
                  <c:v>11.072418937311411</c:v>
                </c:pt>
                <c:pt idx="5">
                  <c:v>7.4617841383864283</c:v>
                </c:pt>
                <c:pt idx="6">
                  <c:v>3.2419895517311685</c:v>
                </c:pt>
                <c:pt idx="7">
                  <c:v>0.90724295672036381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175-4F9A-8052-BB14EABA6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061760"/>
        <c:axId val="233071744"/>
      </c:scatterChart>
      <c:valAx>
        <c:axId val="233061760"/>
        <c:scaling>
          <c:orientation val="minMax"/>
          <c:max val="11"/>
          <c:min val="6"/>
        </c:scaling>
        <c:delete val="0"/>
        <c:axPos val="b"/>
        <c:numFmt formatCode="0.00_ " sourceLinked="1"/>
        <c:majorTickMark val="out"/>
        <c:minorTickMark val="none"/>
        <c:tickLblPos val="nextTo"/>
        <c:crossAx val="233071744"/>
        <c:crosses val="autoZero"/>
        <c:crossBetween val="midCat"/>
      </c:valAx>
      <c:valAx>
        <c:axId val="233071744"/>
        <c:scaling>
          <c:orientation val="minMax"/>
        </c:scaling>
        <c:delete val="0"/>
        <c:axPos val="l"/>
        <c:majorGridlines/>
        <c:numFmt formatCode="0.0_ " sourceLinked="1"/>
        <c:majorTickMark val="out"/>
        <c:minorTickMark val="none"/>
        <c:tickLblPos val="nextTo"/>
        <c:crossAx val="2330617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1</xdr:row>
      <xdr:rowOff>61912</xdr:rowOff>
    </xdr:from>
    <xdr:to>
      <xdr:col>16</xdr:col>
      <xdr:colOff>171451</xdr:colOff>
      <xdr:row>18</xdr:row>
      <xdr:rowOff>66675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600076</xdr:colOff>
      <xdr:row>0</xdr:row>
      <xdr:rowOff>142875</xdr:rowOff>
    </xdr:from>
    <xdr:to>
      <xdr:col>12</xdr:col>
      <xdr:colOff>180976</xdr:colOff>
      <xdr:row>14</xdr:row>
      <xdr:rowOff>38100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180974</xdr:colOff>
      <xdr:row>21</xdr:row>
      <xdr:rowOff>104775</xdr:rowOff>
    </xdr:from>
    <xdr:to>
      <xdr:col>12</xdr:col>
      <xdr:colOff>238125</xdr:colOff>
      <xdr:row>34</xdr:row>
      <xdr:rowOff>66676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676275</xdr:colOff>
      <xdr:row>11</xdr:row>
      <xdr:rowOff>71436</xdr:rowOff>
    </xdr:from>
    <xdr:to>
      <xdr:col>12</xdr:col>
      <xdr:colOff>161925</xdr:colOff>
      <xdr:row>34</xdr:row>
      <xdr:rowOff>76199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428625</xdr:colOff>
      <xdr:row>47</xdr:row>
      <xdr:rowOff>80962</xdr:rowOff>
    </xdr:from>
    <xdr:to>
      <xdr:col>12</xdr:col>
      <xdr:colOff>200025</xdr:colOff>
      <xdr:row>63</xdr:row>
      <xdr:rowOff>80962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Normal="100" workbookViewId="0">
      <selection activeCell="L24" sqref="L24"/>
    </sheetView>
  </sheetViews>
  <sheetFormatPr defaultRowHeight="13.5" x14ac:dyDescent="0.15"/>
  <sheetData>
    <row r="1" spans="1:10" x14ac:dyDescent="0.15">
      <c r="A1" t="s">
        <v>0</v>
      </c>
      <c r="B1" t="s">
        <v>6</v>
      </c>
    </row>
    <row r="2" spans="1:10" x14ac:dyDescent="0.15">
      <c r="A2" t="s">
        <v>1</v>
      </c>
      <c r="B2" t="s">
        <v>2</v>
      </c>
      <c r="C2" t="s">
        <v>3</v>
      </c>
    </row>
    <row r="3" spans="1:10" x14ac:dyDescent="0.15">
      <c r="A3" t="s">
        <v>4</v>
      </c>
      <c r="B3" t="s">
        <v>5</v>
      </c>
    </row>
    <row r="6" spans="1:10" x14ac:dyDescent="0.15">
      <c r="B6" s="4" t="s">
        <v>18</v>
      </c>
      <c r="H6" t="s">
        <v>25</v>
      </c>
    </row>
    <row r="7" spans="1:10" ht="15.75" x14ac:dyDescent="0.15">
      <c r="H7" t="s">
        <v>24</v>
      </c>
      <c r="I7" t="s">
        <v>22</v>
      </c>
      <c r="J7" t="s">
        <v>23</v>
      </c>
    </row>
    <row r="8" spans="1:10" x14ac:dyDescent="0.15">
      <c r="B8" s="6" t="s">
        <v>9</v>
      </c>
      <c r="H8">
        <v>0</v>
      </c>
      <c r="I8" s="1">
        <v>0</v>
      </c>
      <c r="J8" s="7">
        <v>0.99819999999999998</v>
      </c>
    </row>
    <row r="9" spans="1:10" ht="15.75" x14ac:dyDescent="0.15">
      <c r="B9" t="s">
        <v>11</v>
      </c>
      <c r="H9">
        <v>5</v>
      </c>
      <c r="I9" s="1">
        <v>1.403</v>
      </c>
      <c r="J9" s="7">
        <v>1.0227999999999999</v>
      </c>
    </row>
    <row r="10" spans="1:10" x14ac:dyDescent="0.15">
      <c r="B10">
        <v>1.0820000000000001</v>
      </c>
      <c r="H10">
        <v>10</v>
      </c>
      <c r="I10" s="1">
        <v>2.8730000000000002</v>
      </c>
      <c r="J10" s="7">
        <v>1.0476000000000001</v>
      </c>
    </row>
    <row r="11" spans="1:10" x14ac:dyDescent="0.15">
      <c r="B11" t="s">
        <v>13</v>
      </c>
      <c r="H11">
        <v>20</v>
      </c>
      <c r="I11" s="1">
        <v>6.0229999999999997</v>
      </c>
      <c r="J11" s="7">
        <v>1.0980000000000001</v>
      </c>
    </row>
    <row r="12" spans="1:10" x14ac:dyDescent="0.15">
      <c r="B12">
        <v>1.004</v>
      </c>
      <c r="H12">
        <v>30</v>
      </c>
      <c r="I12" s="1">
        <v>9.4559999999999995</v>
      </c>
      <c r="J12" s="7">
        <v>1.1492</v>
      </c>
    </row>
    <row r="13" spans="1:10" x14ac:dyDescent="0.15">
      <c r="B13" t="s">
        <v>10</v>
      </c>
    </row>
    <row r="14" spans="1:10" x14ac:dyDescent="0.15">
      <c r="B14">
        <v>4.3499999999999996</v>
      </c>
      <c r="H14" t="s">
        <v>68</v>
      </c>
    </row>
    <row r="15" spans="1:10" ht="15.75" x14ac:dyDescent="0.15">
      <c r="B15" t="s">
        <v>12</v>
      </c>
      <c r="I15" t="s">
        <v>27</v>
      </c>
      <c r="J15" t="s">
        <v>26</v>
      </c>
    </row>
    <row r="16" spans="1:10" x14ac:dyDescent="0.15">
      <c r="B16" s="1">
        <f>5*B12*(B14/B10)/100</f>
        <v>0.20182070240295744</v>
      </c>
      <c r="I16">
        <v>5</v>
      </c>
      <c r="J16" s="1">
        <f>0.9983+0.0177*I16-0.0002*I16^2</f>
        <v>1.0818000000000001</v>
      </c>
    </row>
    <row r="17" spans="2:10" x14ac:dyDescent="0.15">
      <c r="B17" s="1"/>
    </row>
    <row r="18" spans="2:10" x14ac:dyDescent="0.15">
      <c r="B18" s="6" t="s">
        <v>19</v>
      </c>
      <c r="H18" s="15" t="s">
        <v>67</v>
      </c>
    </row>
    <row r="19" spans="2:10" x14ac:dyDescent="0.15">
      <c r="B19" t="s">
        <v>20</v>
      </c>
      <c r="I19" t="s">
        <v>27</v>
      </c>
      <c r="J19" t="s">
        <v>26</v>
      </c>
    </row>
    <row r="20" spans="2:10" x14ac:dyDescent="0.15">
      <c r="B20">
        <v>10.119999999999999</v>
      </c>
      <c r="I20">
        <v>5</v>
      </c>
      <c r="J20" s="1">
        <f>J10+(J11-J10)/(I11-I10)*(I20-I10)</f>
        <v>1.0816320000000001</v>
      </c>
    </row>
    <row r="22" spans="2:10" ht="15.75" x14ac:dyDescent="0.15">
      <c r="B22" s="6" t="s">
        <v>21</v>
      </c>
    </row>
    <row r="23" spans="2:10" x14ac:dyDescent="0.15">
      <c r="B23" s="1">
        <f>B16*10/B20</f>
        <v>0.19942757154442434</v>
      </c>
    </row>
    <row r="28" spans="2:10" x14ac:dyDescent="0.15">
      <c r="B28" t="s">
        <v>7</v>
      </c>
    </row>
    <row r="29" spans="2:10" x14ac:dyDescent="0.15">
      <c r="B29" t="s">
        <v>8</v>
      </c>
    </row>
    <row r="30" spans="2:10" x14ac:dyDescent="0.15">
      <c r="B30">
        <v>1.48</v>
      </c>
    </row>
    <row r="31" spans="2:10" x14ac:dyDescent="0.15">
      <c r="B31" t="s">
        <v>64</v>
      </c>
    </row>
    <row r="32" spans="2:10" x14ac:dyDescent="0.15">
      <c r="B32" s="1">
        <f>(B30/60.05)/0.25</f>
        <v>9.8584512905911748E-2</v>
      </c>
      <c r="C32" t="s">
        <v>63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1"/>
  <sheetViews>
    <sheetView workbookViewId="0"/>
  </sheetViews>
  <sheetFormatPr defaultRowHeight="13.5" x14ac:dyDescent="0.15"/>
  <sheetData>
    <row r="3" spans="2:7" x14ac:dyDescent="0.15">
      <c r="B3" s="4" t="s">
        <v>30</v>
      </c>
    </row>
    <row r="4" spans="2:7" ht="16.5" x14ac:dyDescent="0.15">
      <c r="B4" t="s">
        <v>37</v>
      </c>
    </row>
    <row r="5" spans="2:7" x14ac:dyDescent="0.15">
      <c r="B5" s="1">
        <v>9.4927524055145984E-2</v>
      </c>
      <c r="D5" t="s">
        <v>56</v>
      </c>
    </row>
    <row r="7" spans="2:7" x14ac:dyDescent="0.15">
      <c r="C7" s="2" t="s">
        <v>33</v>
      </c>
      <c r="D7" t="s">
        <v>28</v>
      </c>
    </row>
    <row r="8" spans="2:7" x14ac:dyDescent="0.15">
      <c r="C8" s="8">
        <v>0</v>
      </c>
      <c r="D8" s="3">
        <v>2.84</v>
      </c>
    </row>
    <row r="9" spans="2:7" x14ac:dyDescent="0.15">
      <c r="C9" s="8">
        <v>1</v>
      </c>
      <c r="D9" s="3">
        <v>2.99</v>
      </c>
    </row>
    <row r="10" spans="2:7" x14ac:dyDescent="0.15">
      <c r="C10" s="8">
        <v>2</v>
      </c>
      <c r="D10" s="3">
        <v>3.14</v>
      </c>
    </row>
    <row r="11" spans="2:7" x14ac:dyDescent="0.15">
      <c r="C11" s="8">
        <v>3</v>
      </c>
      <c r="D11" s="3">
        <v>3.29</v>
      </c>
    </row>
    <row r="12" spans="2:7" x14ac:dyDescent="0.15">
      <c r="C12" s="8">
        <v>4</v>
      </c>
      <c r="D12" s="3">
        <v>3.43</v>
      </c>
      <c r="G12" t="s">
        <v>34</v>
      </c>
    </row>
    <row r="13" spans="2:7" x14ac:dyDescent="0.15">
      <c r="C13" s="8">
        <v>5</v>
      </c>
      <c r="D13" s="3">
        <v>3.59</v>
      </c>
      <c r="F13" s="9" t="s">
        <v>35</v>
      </c>
      <c r="G13">
        <v>0.14899999999999999</v>
      </c>
    </row>
    <row r="14" spans="2:7" x14ac:dyDescent="0.15">
      <c r="F14" s="9" t="s">
        <v>36</v>
      </c>
      <c r="G14">
        <v>2.84</v>
      </c>
    </row>
    <row r="16" spans="2:7" x14ac:dyDescent="0.15">
      <c r="F16" t="s">
        <v>38</v>
      </c>
    </row>
    <row r="17" spans="2:9" ht="16.5" x14ac:dyDescent="0.15">
      <c r="F17" t="s">
        <v>39</v>
      </c>
    </row>
    <row r="18" spans="2:9" x14ac:dyDescent="0.15">
      <c r="F18" s="9" t="s">
        <v>35</v>
      </c>
      <c r="G18" s="1">
        <f>LOG10(2)/2</f>
        <v>0.1505149978319906</v>
      </c>
      <c r="I18" s="6" t="s">
        <v>42</v>
      </c>
    </row>
    <row r="19" spans="2:9" ht="16.5" x14ac:dyDescent="0.15">
      <c r="F19" s="9" t="s">
        <v>36</v>
      </c>
      <c r="G19" t="s">
        <v>40</v>
      </c>
    </row>
    <row r="21" spans="2:9" x14ac:dyDescent="0.15">
      <c r="G21" s="6" t="s">
        <v>43</v>
      </c>
    </row>
    <row r="22" spans="2:9" x14ac:dyDescent="0.15">
      <c r="G22" t="s">
        <v>41</v>
      </c>
      <c r="H22" s="3">
        <f>G14*2+LOG(B5)</f>
        <v>4.6573921535458185</v>
      </c>
    </row>
    <row r="23" spans="2:9" x14ac:dyDescent="0.15">
      <c r="B23" s="4" t="s">
        <v>31</v>
      </c>
    </row>
    <row r="24" spans="2:9" ht="15.75" x14ac:dyDescent="0.15">
      <c r="B24" t="s">
        <v>32</v>
      </c>
    </row>
    <row r="25" spans="2:9" x14ac:dyDescent="0.15">
      <c r="B25" s="1">
        <v>0.20182070240295744</v>
      </c>
    </row>
    <row r="27" spans="2:9" x14ac:dyDescent="0.15">
      <c r="C27" s="2" t="s">
        <v>29</v>
      </c>
      <c r="D27" t="s">
        <v>28</v>
      </c>
    </row>
    <row r="28" spans="2:9" x14ac:dyDescent="0.15">
      <c r="C28" s="8">
        <v>0</v>
      </c>
      <c r="D28" s="3">
        <v>0.85</v>
      </c>
    </row>
    <row r="29" spans="2:9" x14ac:dyDescent="0.15">
      <c r="C29" s="8">
        <v>1</v>
      </c>
      <c r="D29" s="3">
        <v>1.06</v>
      </c>
    </row>
    <row r="30" spans="2:9" x14ac:dyDescent="0.15">
      <c r="C30" s="8">
        <v>2</v>
      </c>
      <c r="D30" s="3">
        <v>1.32</v>
      </c>
    </row>
    <row r="31" spans="2:9" x14ac:dyDescent="0.15">
      <c r="C31" s="8">
        <v>3</v>
      </c>
      <c r="D31" s="3">
        <v>1.59</v>
      </c>
    </row>
    <row r="32" spans="2:9" x14ac:dyDescent="0.15">
      <c r="C32" s="8">
        <v>4</v>
      </c>
      <c r="D32" s="3">
        <v>1.88</v>
      </c>
      <c r="G32" t="s">
        <v>34</v>
      </c>
    </row>
    <row r="33" spans="3:9" x14ac:dyDescent="0.15">
      <c r="C33" s="8">
        <v>5</v>
      </c>
      <c r="D33" s="3">
        <v>2.17</v>
      </c>
      <c r="F33" s="9" t="s">
        <v>35</v>
      </c>
      <c r="G33">
        <v>0.26700000000000002</v>
      </c>
    </row>
    <row r="34" spans="3:9" x14ac:dyDescent="0.15">
      <c r="F34" s="9" t="s">
        <v>36</v>
      </c>
      <c r="G34">
        <v>0.81</v>
      </c>
    </row>
    <row r="36" spans="3:9" ht="16.5" x14ac:dyDescent="0.15">
      <c r="F36" t="s">
        <v>66</v>
      </c>
    </row>
    <row r="37" spans="3:9" ht="16.5" x14ac:dyDescent="0.15">
      <c r="F37" t="s">
        <v>44</v>
      </c>
    </row>
    <row r="38" spans="3:9" x14ac:dyDescent="0.15">
      <c r="F38" s="9" t="s">
        <v>35</v>
      </c>
      <c r="G38" s="1">
        <f>LOG10(2)</f>
        <v>0.3010299956639812</v>
      </c>
      <c r="I38" s="6" t="s">
        <v>47</v>
      </c>
    </row>
    <row r="39" spans="3:9" x14ac:dyDescent="0.15">
      <c r="F39" s="9" t="s">
        <v>36</v>
      </c>
      <c r="G39" s="3">
        <f>-LOG10(B25)</f>
        <v>0.69503428667089406</v>
      </c>
      <c r="I39" s="6" t="s">
        <v>46</v>
      </c>
    </row>
    <row r="41" spans="3:9" x14ac:dyDescent="0.15">
      <c r="F41" s="5" t="s">
        <v>45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R76"/>
  <sheetViews>
    <sheetView workbookViewId="0">
      <selection activeCell="S36" sqref="S36"/>
    </sheetView>
  </sheetViews>
  <sheetFormatPr defaultRowHeight="13.5" x14ac:dyDescent="0.15"/>
  <sheetData>
    <row r="3" spans="2:18" x14ac:dyDescent="0.15">
      <c r="B3" s="4" t="s">
        <v>51</v>
      </c>
    </row>
    <row r="4" spans="2:18" ht="15.75" x14ac:dyDescent="0.15">
      <c r="B4" t="s">
        <v>48</v>
      </c>
    </row>
    <row r="5" spans="2:18" x14ac:dyDescent="0.15">
      <c r="B5" s="1">
        <v>0.19942757154442434</v>
      </c>
    </row>
    <row r="6" spans="2:18" x14ac:dyDescent="0.15">
      <c r="B6" s="1" t="s">
        <v>49</v>
      </c>
    </row>
    <row r="7" spans="2:18" x14ac:dyDescent="0.15">
      <c r="B7" s="8">
        <v>80</v>
      </c>
    </row>
    <row r="8" spans="2:18" x14ac:dyDescent="0.15">
      <c r="B8" s="1" t="s">
        <v>50</v>
      </c>
    </row>
    <row r="9" spans="2:18" x14ac:dyDescent="0.15">
      <c r="B9" s="3">
        <v>20</v>
      </c>
      <c r="N9" t="s">
        <v>59</v>
      </c>
      <c r="O9">
        <f>G68</f>
        <v>9.52</v>
      </c>
    </row>
    <row r="10" spans="2:18" x14ac:dyDescent="0.15">
      <c r="N10" t="s">
        <v>41</v>
      </c>
      <c r="O10">
        <f>G74</f>
        <v>4.68</v>
      </c>
    </row>
    <row r="11" spans="2:18" x14ac:dyDescent="0.15">
      <c r="C11" t="s">
        <v>17</v>
      </c>
      <c r="D11" s="2" t="s">
        <v>16</v>
      </c>
      <c r="E11" t="s">
        <v>14</v>
      </c>
      <c r="Q11" t="s">
        <v>71</v>
      </c>
    </row>
    <row r="12" spans="2:18" x14ac:dyDescent="0.15">
      <c r="C12" s="3">
        <v>7.3</v>
      </c>
      <c r="D12" s="3">
        <f>C12-C$12</f>
        <v>0</v>
      </c>
      <c r="E12" s="3">
        <v>3.23</v>
      </c>
      <c r="N12" s="2" t="s">
        <v>16</v>
      </c>
      <c r="O12" t="s">
        <v>57</v>
      </c>
      <c r="Q12" t="s">
        <v>70</v>
      </c>
      <c r="R12" t="s">
        <v>69</v>
      </c>
    </row>
    <row r="13" spans="2:18" x14ac:dyDescent="0.15">
      <c r="C13" s="3">
        <v>7.42</v>
      </c>
      <c r="D13" s="3">
        <f t="shared" ref="D13:D40" si="0">C13-C$12</f>
        <v>0.12000000000000011</v>
      </c>
      <c r="E13" s="3">
        <v>3.3</v>
      </c>
      <c r="N13">
        <v>1E-4</v>
      </c>
      <c r="O13" s="7">
        <f t="shared" ref="O13:O46" si="1">$O$10+LOG10(N13/($O$9-N13))</f>
        <v>-0.29863238644368817</v>
      </c>
      <c r="Q13" s="7">
        <f>$O$9/(1+10^($O$10-R13))</f>
        <v>1.9889683611340329E-4</v>
      </c>
      <c r="R13">
        <v>0</v>
      </c>
    </row>
    <row r="14" spans="2:18" x14ac:dyDescent="0.15">
      <c r="C14" s="3">
        <v>7.6</v>
      </c>
      <c r="D14" s="3">
        <f t="shared" si="0"/>
        <v>0.29999999999999982</v>
      </c>
      <c r="E14" s="3">
        <v>3.43</v>
      </c>
      <c r="N14">
        <v>1E-3</v>
      </c>
      <c r="O14" s="7">
        <f t="shared" si="1"/>
        <v>0.70140867317992495</v>
      </c>
      <c r="Q14" s="7">
        <f t="shared" ref="Q14:Q38" si="2">$O$9/(1+10^($O$10-R14))</f>
        <v>6.2893860894141812E-4</v>
      </c>
      <c r="R14">
        <v>0.5</v>
      </c>
    </row>
    <row r="15" spans="2:18" x14ac:dyDescent="0.15">
      <c r="C15" s="3">
        <v>7.79</v>
      </c>
      <c r="D15" s="3">
        <f t="shared" si="0"/>
        <v>0.49000000000000021</v>
      </c>
      <c r="E15" s="3">
        <v>3.55</v>
      </c>
      <c r="N15">
        <v>0.01</v>
      </c>
      <c r="O15" s="7">
        <f t="shared" si="1"/>
        <v>1.7018194830625859</v>
      </c>
      <c r="Q15" s="7">
        <f t="shared" si="2"/>
        <v>1.9885944403060479E-3</v>
      </c>
      <c r="R15">
        <v>1</v>
      </c>
    </row>
    <row r="16" spans="2:18" x14ac:dyDescent="0.15">
      <c r="C16" s="3">
        <v>8.25</v>
      </c>
      <c r="D16" s="3">
        <f t="shared" si="0"/>
        <v>0.95000000000000018</v>
      </c>
      <c r="E16" s="3">
        <v>3.77</v>
      </c>
      <c r="N16">
        <v>0.1</v>
      </c>
      <c r="O16" s="7">
        <f t="shared" si="1"/>
        <v>2.7059490972071223</v>
      </c>
      <c r="Q16" s="7">
        <f t="shared" si="2"/>
        <v>6.2856487380945781E-3</v>
      </c>
      <c r="R16">
        <v>1.5</v>
      </c>
    </row>
    <row r="17" spans="3:18" x14ac:dyDescent="0.15">
      <c r="C17" s="3">
        <v>8.7899999999999991</v>
      </c>
      <c r="D17" s="3">
        <f t="shared" si="0"/>
        <v>1.4899999999999993</v>
      </c>
      <c r="E17" s="3">
        <v>3.97</v>
      </c>
      <c r="N17">
        <v>0.2</v>
      </c>
      <c r="O17" s="7">
        <f t="shared" si="1"/>
        <v>3.0116140833099996</v>
      </c>
      <c r="Q17" s="7">
        <f t="shared" si="2"/>
        <v>1.9848629500911444E-2</v>
      </c>
      <c r="R17">
        <v>2</v>
      </c>
    </row>
    <row r="18" spans="3:18" x14ac:dyDescent="0.15">
      <c r="C18" s="3">
        <v>9.3000000000000007</v>
      </c>
      <c r="D18" s="3">
        <f t="shared" si="0"/>
        <v>2.0000000000000009</v>
      </c>
      <c r="E18" s="3">
        <v>4.12</v>
      </c>
      <c r="N18">
        <v>0.4</v>
      </c>
      <c r="O18" s="7">
        <f t="shared" si="1"/>
        <v>3.3220651529995457</v>
      </c>
      <c r="Q18" s="7">
        <f t="shared" si="2"/>
        <v>6.248518075509852E-2</v>
      </c>
      <c r="R18">
        <v>2.5</v>
      </c>
    </row>
    <row r="19" spans="3:18" x14ac:dyDescent="0.15">
      <c r="C19" s="3">
        <v>9.8000000000000007</v>
      </c>
      <c r="D19" s="3">
        <f t="shared" si="0"/>
        <v>2.5000000000000009</v>
      </c>
      <c r="E19" s="3">
        <v>4.24</v>
      </c>
      <c r="N19">
        <v>0.8</v>
      </c>
      <c r="O19" s="7">
        <f t="shared" si="1"/>
        <v>3.6425735020593759</v>
      </c>
      <c r="Q19" s="7">
        <f t="shared" si="2"/>
        <v>0.19483040749185024</v>
      </c>
      <c r="R19">
        <v>3</v>
      </c>
    </row>
    <row r="20" spans="3:18" x14ac:dyDescent="0.15">
      <c r="C20" s="3">
        <v>10.3</v>
      </c>
      <c r="D20" s="3">
        <f t="shared" si="0"/>
        <v>3.0000000000000009</v>
      </c>
      <c r="E20" s="3">
        <v>4.34</v>
      </c>
      <c r="N20">
        <v>1.4</v>
      </c>
      <c r="O20" s="7">
        <f t="shared" si="1"/>
        <v>3.9165720064370624</v>
      </c>
      <c r="Q20" s="7">
        <f t="shared" si="2"/>
        <v>0.58999929560940845</v>
      </c>
      <c r="R20">
        <v>3.5</v>
      </c>
    </row>
    <row r="21" spans="3:18" x14ac:dyDescent="0.15">
      <c r="C21" s="3">
        <v>10.85</v>
      </c>
      <c r="D21" s="3">
        <f t="shared" si="0"/>
        <v>3.55</v>
      </c>
      <c r="E21" s="3">
        <v>4.45</v>
      </c>
      <c r="N21">
        <v>2</v>
      </c>
      <c r="O21" s="7">
        <f t="shared" si="1"/>
        <v>4.1048121550723389</v>
      </c>
      <c r="Q21" s="7">
        <f t="shared" si="2"/>
        <v>1.6452652785109121</v>
      </c>
      <c r="R21">
        <v>4</v>
      </c>
    </row>
    <row r="22" spans="3:18" x14ac:dyDescent="0.15">
      <c r="C22" s="3">
        <v>11.3</v>
      </c>
      <c r="D22" s="3">
        <f t="shared" si="0"/>
        <v>4.0000000000000009</v>
      </c>
      <c r="E22" s="3">
        <v>4.54</v>
      </c>
      <c r="N22">
        <v>2.5</v>
      </c>
      <c r="O22" s="7">
        <f t="shared" si="1"/>
        <v>4.2316028965422321</v>
      </c>
      <c r="Q22" s="7">
        <f t="shared" si="2"/>
        <v>3.7874549529766957</v>
      </c>
      <c r="R22">
        <v>4.5</v>
      </c>
    </row>
    <row r="23" spans="3:18" x14ac:dyDescent="0.15">
      <c r="C23" s="3">
        <v>11.8</v>
      </c>
      <c r="D23" s="3">
        <f t="shared" si="0"/>
        <v>4.5000000000000009</v>
      </c>
      <c r="E23" s="3">
        <v>4.6399999999999997</v>
      </c>
      <c r="N23">
        <v>3</v>
      </c>
      <c r="O23" s="7">
        <f t="shared" si="1"/>
        <v>4.3428736589877417</v>
      </c>
      <c r="Q23" s="7">
        <f t="shared" si="2"/>
        <v>6.4383918935708566</v>
      </c>
      <c r="R23">
        <v>5</v>
      </c>
    </row>
    <row r="24" spans="3:18" x14ac:dyDescent="0.15">
      <c r="C24" s="3">
        <v>12.3</v>
      </c>
      <c r="D24" s="3">
        <f t="shared" si="0"/>
        <v>5.0000000000000009</v>
      </c>
      <c r="E24" s="3">
        <v>4.72</v>
      </c>
      <c r="N24">
        <v>3.5</v>
      </c>
      <c r="O24" s="7">
        <f t="shared" si="1"/>
        <v>4.444471553092451</v>
      </c>
      <c r="Q24" s="7">
        <f t="shared" si="2"/>
        <v>8.26851031977011</v>
      </c>
      <c r="R24">
        <v>5.5</v>
      </c>
    </row>
    <row r="25" spans="3:18" x14ac:dyDescent="0.15">
      <c r="C25" s="3">
        <v>12.79</v>
      </c>
      <c r="D25" s="3">
        <f t="shared" si="0"/>
        <v>5.4899999999999993</v>
      </c>
      <c r="E25" s="3">
        <v>4.8099999999999996</v>
      </c>
      <c r="N25">
        <v>4</v>
      </c>
      <c r="O25" s="7">
        <f t="shared" si="1"/>
        <v>4.5401209135987637</v>
      </c>
      <c r="Q25" s="7">
        <f t="shared" si="2"/>
        <v>9.085157044502413</v>
      </c>
      <c r="R25">
        <v>6</v>
      </c>
    </row>
    <row r="26" spans="3:18" x14ac:dyDescent="0.15">
      <c r="C26" s="3">
        <v>13.31</v>
      </c>
      <c r="D26" s="3">
        <f t="shared" si="0"/>
        <v>6.0100000000000007</v>
      </c>
      <c r="E26" s="3">
        <v>4.9000000000000004</v>
      </c>
      <c r="N26">
        <v>4.5</v>
      </c>
      <c r="O26" s="7">
        <f t="shared" si="1"/>
        <v>4.632508796630324</v>
      </c>
      <c r="Q26" s="7">
        <f t="shared" si="2"/>
        <v>9.3780573579735922</v>
      </c>
      <c r="R26">
        <v>6.5</v>
      </c>
    </row>
    <row r="27" spans="3:18" x14ac:dyDescent="0.15">
      <c r="C27" s="3">
        <v>13.8</v>
      </c>
      <c r="D27" s="3">
        <f t="shared" si="0"/>
        <v>6.5000000000000009</v>
      </c>
      <c r="E27" s="3">
        <v>5</v>
      </c>
      <c r="N27">
        <v>5</v>
      </c>
      <c r="O27" s="7">
        <f t="shared" si="1"/>
        <v>4.7238315695246369</v>
      </c>
      <c r="Q27" s="7">
        <f t="shared" si="2"/>
        <v>9.4746514669365531</v>
      </c>
      <c r="R27">
        <v>7</v>
      </c>
    </row>
    <row r="28" spans="3:18" x14ac:dyDescent="0.15">
      <c r="C28" s="3">
        <v>14.3</v>
      </c>
      <c r="D28" s="3">
        <f t="shared" si="0"/>
        <v>7.0000000000000009</v>
      </c>
      <c r="E28" s="3">
        <v>5.1100000000000003</v>
      </c>
      <c r="N28">
        <v>5.5</v>
      </c>
      <c r="O28" s="7">
        <f t="shared" si="1"/>
        <v>4.8161366364097731</v>
      </c>
      <c r="Q28" s="7">
        <f t="shared" si="2"/>
        <v>9.5056126730154791</v>
      </c>
      <c r="R28">
        <v>7.5</v>
      </c>
    </row>
    <row r="29" spans="3:18" x14ac:dyDescent="0.15">
      <c r="C29" s="3">
        <v>14.79</v>
      </c>
      <c r="D29" s="3">
        <f t="shared" si="0"/>
        <v>7.4899999999999993</v>
      </c>
      <c r="E29" s="3">
        <v>5.23</v>
      </c>
      <c r="N29">
        <v>6</v>
      </c>
      <c r="O29" s="7">
        <f t="shared" si="1"/>
        <v>4.9116085869055119</v>
      </c>
      <c r="Q29" s="7">
        <f t="shared" si="2"/>
        <v>9.5154456213837442</v>
      </c>
      <c r="R29">
        <v>8</v>
      </c>
    </row>
    <row r="30" spans="3:18" x14ac:dyDescent="0.15">
      <c r="C30" s="3">
        <v>15.27</v>
      </c>
      <c r="D30" s="3">
        <f t="shared" si="0"/>
        <v>7.97</v>
      </c>
      <c r="E30" s="3">
        <v>5.38</v>
      </c>
      <c r="N30">
        <v>6.5</v>
      </c>
      <c r="O30" s="7">
        <f t="shared" si="1"/>
        <v>5.0129064136857044</v>
      </c>
      <c r="Q30" s="7">
        <f t="shared" si="2"/>
        <v>9.5185593077490847</v>
      </c>
      <c r="R30">
        <v>8.5</v>
      </c>
    </row>
    <row r="31" spans="3:18" x14ac:dyDescent="0.15">
      <c r="C31" s="3">
        <v>15.81</v>
      </c>
      <c r="D31" s="3">
        <f t="shared" si="0"/>
        <v>8.5100000000000016</v>
      </c>
      <c r="E31" s="3">
        <v>5.59</v>
      </c>
      <c r="N31">
        <v>7</v>
      </c>
      <c r="O31" s="7">
        <f t="shared" si="1"/>
        <v>5.1236974992327129</v>
      </c>
      <c r="Q31" s="7">
        <f t="shared" si="2"/>
        <v>9.519544365960126</v>
      </c>
      <c r="R31">
        <v>9</v>
      </c>
    </row>
    <row r="32" spans="3:18" x14ac:dyDescent="0.15">
      <c r="C32" s="3">
        <v>16.3</v>
      </c>
      <c r="D32" s="3">
        <f t="shared" si="0"/>
        <v>9</v>
      </c>
      <c r="E32" s="3">
        <v>5.91</v>
      </c>
      <c r="N32">
        <v>7.5</v>
      </c>
      <c r="O32" s="7">
        <f t="shared" si="1"/>
        <v>5.2497098939450764</v>
      </c>
      <c r="Q32" s="7">
        <f t="shared" si="2"/>
        <v>9.5198559111500209</v>
      </c>
      <c r="R32">
        <v>9.5</v>
      </c>
    </row>
    <row r="33" spans="2:18" x14ac:dyDescent="0.15">
      <c r="C33" s="3">
        <v>16.48</v>
      </c>
      <c r="D33" s="3">
        <f t="shared" si="0"/>
        <v>9.18</v>
      </c>
      <c r="E33" s="3">
        <v>6.09</v>
      </c>
      <c r="N33">
        <v>8</v>
      </c>
      <c r="O33" s="7">
        <f t="shared" si="1"/>
        <v>5.4012463990471709</v>
      </c>
      <c r="Q33" s="7">
        <f t="shared" si="2"/>
        <v>9.5199544346333003</v>
      </c>
      <c r="R33">
        <v>10</v>
      </c>
    </row>
    <row r="34" spans="2:18" x14ac:dyDescent="0.15">
      <c r="C34" s="3">
        <v>16.649999999999999</v>
      </c>
      <c r="D34" s="3">
        <f t="shared" si="0"/>
        <v>9.3499999999999979</v>
      </c>
      <c r="E34" s="3">
        <v>6.46</v>
      </c>
      <c r="N34">
        <v>8.5</v>
      </c>
      <c r="O34" s="7">
        <f t="shared" si="1"/>
        <v>5.6008187539523746</v>
      </c>
      <c r="Q34" s="7">
        <f t="shared" si="2"/>
        <v>9.5199855909187239</v>
      </c>
      <c r="R34">
        <v>10.5</v>
      </c>
    </row>
    <row r="35" spans="2:18" x14ac:dyDescent="0.15">
      <c r="C35" s="3">
        <v>16.8</v>
      </c>
      <c r="D35" s="3">
        <f t="shared" si="0"/>
        <v>9.5</v>
      </c>
      <c r="E35" s="3">
        <v>7.02</v>
      </c>
      <c r="N35">
        <v>9</v>
      </c>
      <c r="O35" s="7">
        <f t="shared" si="1"/>
        <v>5.9182391658045255</v>
      </c>
      <c r="Q35" s="7">
        <f t="shared" si="2"/>
        <v>9.5199954434437029</v>
      </c>
      <c r="R35">
        <v>11</v>
      </c>
    </row>
    <row r="36" spans="2:18" x14ac:dyDescent="0.15">
      <c r="C36" s="3">
        <v>16.88</v>
      </c>
      <c r="D36" s="3">
        <f t="shared" si="0"/>
        <v>9.5799999999999983</v>
      </c>
      <c r="E36" s="3">
        <v>9.66</v>
      </c>
      <c r="N36">
        <v>9.1</v>
      </c>
      <c r="O36" s="7">
        <f t="shared" si="1"/>
        <v>6.0157921019231928</v>
      </c>
      <c r="Q36" s="7">
        <f t="shared" si="2"/>
        <v>9.5199985590899097</v>
      </c>
      <c r="R36">
        <v>11.5</v>
      </c>
    </row>
    <row r="37" spans="2:18" x14ac:dyDescent="0.15">
      <c r="C37" s="3">
        <v>17.010000000000002</v>
      </c>
      <c r="D37" s="3">
        <f t="shared" si="0"/>
        <v>9.7100000000000009</v>
      </c>
      <c r="E37" s="3">
        <v>10.199999999999999</v>
      </c>
      <c r="N37">
        <v>9.1999999999999993</v>
      </c>
      <c r="O37" s="7">
        <f t="shared" si="1"/>
        <v>6.138637849025649</v>
      </c>
      <c r="Q37" s="7">
        <f t="shared" si="2"/>
        <v>9.5199995443441718</v>
      </c>
      <c r="R37">
        <v>12</v>
      </c>
    </row>
    <row r="38" spans="2:18" x14ac:dyDescent="0.15">
      <c r="C38" s="3">
        <v>17.21</v>
      </c>
      <c r="D38" s="3">
        <f t="shared" si="0"/>
        <v>9.91</v>
      </c>
      <c r="E38" s="3">
        <v>10.6</v>
      </c>
      <c r="N38">
        <v>9.3000000000000007</v>
      </c>
      <c r="O38" s="7">
        <f t="shared" si="1"/>
        <v>6.3060602677317306</v>
      </c>
      <c r="Q38" s="7">
        <f t="shared" si="2"/>
        <v>9.5199998559089707</v>
      </c>
      <c r="R38">
        <v>12.5</v>
      </c>
    </row>
    <row r="39" spans="2:18" x14ac:dyDescent="0.15">
      <c r="C39" s="3">
        <v>17.600000000000001</v>
      </c>
      <c r="D39" s="3">
        <f t="shared" si="0"/>
        <v>10.3</v>
      </c>
      <c r="E39" s="3">
        <v>10.92</v>
      </c>
      <c r="N39">
        <v>9.4</v>
      </c>
      <c r="O39" s="7">
        <f t="shared" si="1"/>
        <v>6.5739466075520765</v>
      </c>
    </row>
    <row r="40" spans="2:18" x14ac:dyDescent="0.15">
      <c r="C40" s="3">
        <v>17.95</v>
      </c>
      <c r="D40" s="3">
        <f t="shared" si="0"/>
        <v>10.649999999999999</v>
      </c>
      <c r="E40" s="3">
        <v>11.09</v>
      </c>
      <c r="N40">
        <v>9.48</v>
      </c>
      <c r="O40" s="7">
        <f t="shared" si="1"/>
        <v>7.054748346010113</v>
      </c>
    </row>
    <row r="41" spans="2:18" x14ac:dyDescent="0.15">
      <c r="N41">
        <v>9.5</v>
      </c>
      <c r="O41" s="7">
        <f t="shared" si="1"/>
        <v>7.356693609624875</v>
      </c>
    </row>
    <row r="42" spans="2:18" x14ac:dyDescent="0.15">
      <c r="N42">
        <v>9.51</v>
      </c>
      <c r="O42" s="7">
        <f t="shared" si="1"/>
        <v>7.6581805169374224</v>
      </c>
    </row>
    <row r="43" spans="2:18" x14ac:dyDescent="0.15">
      <c r="B43" t="s">
        <v>52</v>
      </c>
      <c r="N43">
        <v>9.5190000000000001</v>
      </c>
      <c r="O43" s="7">
        <f t="shared" si="1"/>
        <v>8.6585913268203143</v>
      </c>
    </row>
    <row r="44" spans="2:18" x14ac:dyDescent="0.15">
      <c r="E44" t="s">
        <v>60</v>
      </c>
      <c r="N44">
        <v>9.5198999999999998</v>
      </c>
      <c r="O44" s="7">
        <f t="shared" si="1"/>
        <v>9.658632386444701</v>
      </c>
    </row>
    <row r="45" spans="2:18" x14ac:dyDescent="0.15">
      <c r="E45" s="10">
        <v>1000000</v>
      </c>
      <c r="N45">
        <v>9.51999</v>
      </c>
      <c r="O45" s="7">
        <f t="shared" si="1"/>
        <v>10.658636492208993</v>
      </c>
    </row>
    <row r="46" spans="2:18" ht="16.5" x14ac:dyDescent="0.15">
      <c r="C46" t="s">
        <v>15</v>
      </c>
      <c r="D46" t="s">
        <v>28</v>
      </c>
      <c r="E46" t="s">
        <v>53</v>
      </c>
      <c r="N46">
        <v>9.5199990000000003</v>
      </c>
      <c r="O46" s="7">
        <f t="shared" si="1"/>
        <v>11.658636903090329</v>
      </c>
    </row>
    <row r="47" spans="2:18" x14ac:dyDescent="0.15">
      <c r="C47" s="3">
        <v>0</v>
      </c>
      <c r="D47" s="3">
        <v>3.23</v>
      </c>
      <c r="E47" s="11">
        <f>$E$45*C47*10^(-D47)</f>
        <v>0</v>
      </c>
      <c r="O47" s="7"/>
    </row>
    <row r="48" spans="2:18" x14ac:dyDescent="0.15">
      <c r="C48" s="3">
        <v>0.12000000000000011</v>
      </c>
      <c r="D48" s="3">
        <v>3.3</v>
      </c>
      <c r="E48" s="11">
        <f t="shared" ref="E48:E75" si="3">$E$45*C48*10^(-D48)</f>
        <v>60.142468035272699</v>
      </c>
      <c r="O48" s="7"/>
    </row>
    <row r="49" spans="3:15" x14ac:dyDescent="0.15">
      <c r="C49" s="3">
        <v>0.29999999999999982</v>
      </c>
      <c r="D49" s="3">
        <v>3.43</v>
      </c>
      <c r="E49" s="11">
        <f t="shared" si="3"/>
        <v>111.46056872915157</v>
      </c>
      <c r="O49" s="7"/>
    </row>
    <row r="50" spans="3:15" x14ac:dyDescent="0.15">
      <c r="C50" s="3">
        <v>0.49000000000000021</v>
      </c>
      <c r="D50" s="3">
        <v>3.55</v>
      </c>
      <c r="E50" s="11">
        <f t="shared" si="3"/>
        <v>138.10076363195833</v>
      </c>
      <c r="O50" s="7"/>
    </row>
    <row r="51" spans="3:15" x14ac:dyDescent="0.15">
      <c r="C51" s="3">
        <v>0.95000000000000018</v>
      </c>
      <c r="D51" s="3">
        <v>3.77</v>
      </c>
      <c r="E51" s="11">
        <f t="shared" si="3"/>
        <v>161.33314698386553</v>
      </c>
      <c r="O51" s="7"/>
    </row>
    <row r="52" spans="3:15" x14ac:dyDescent="0.15">
      <c r="C52" s="3">
        <v>1.4899999999999993</v>
      </c>
      <c r="D52" s="3">
        <v>3.97</v>
      </c>
      <c r="E52" s="11">
        <f t="shared" si="3"/>
        <v>159.65637648040308</v>
      </c>
      <c r="O52" s="7"/>
    </row>
    <row r="53" spans="3:15" x14ac:dyDescent="0.15">
      <c r="C53" s="3">
        <v>2.0000000000000009</v>
      </c>
      <c r="D53" s="3">
        <v>4.12</v>
      </c>
      <c r="E53" s="11">
        <f t="shared" si="3"/>
        <v>151.71551500583661</v>
      </c>
      <c r="O53" s="7"/>
    </row>
    <row r="54" spans="3:15" x14ac:dyDescent="0.15">
      <c r="C54" s="3">
        <v>2.5000000000000009</v>
      </c>
      <c r="D54" s="3">
        <v>4.24</v>
      </c>
      <c r="E54" s="11">
        <f t="shared" si="3"/>
        <v>143.85998433428898</v>
      </c>
      <c r="O54" s="7"/>
    </row>
    <row r="55" spans="3:15" x14ac:dyDescent="0.15">
      <c r="C55" s="3">
        <v>3.0000000000000009</v>
      </c>
      <c r="D55" s="3">
        <v>4.34</v>
      </c>
      <c r="E55" s="11">
        <f t="shared" si="3"/>
        <v>137.12645688446241</v>
      </c>
      <c r="O55" s="7"/>
    </row>
    <row r="56" spans="3:15" x14ac:dyDescent="0.15">
      <c r="C56" s="3">
        <v>3.55</v>
      </c>
      <c r="D56" s="3">
        <v>4.45</v>
      </c>
      <c r="E56" s="11">
        <f t="shared" si="3"/>
        <v>125.95875317791905</v>
      </c>
      <c r="O56" s="7"/>
    </row>
    <row r="57" spans="3:15" x14ac:dyDescent="0.15">
      <c r="C57" s="3">
        <v>4.0000000000000009</v>
      </c>
      <c r="D57" s="3">
        <v>4.54</v>
      </c>
      <c r="E57" s="11">
        <f t="shared" si="3"/>
        <v>115.36126012506415</v>
      </c>
      <c r="O57" s="7"/>
    </row>
    <row r="58" spans="3:15" x14ac:dyDescent="0.15">
      <c r="C58" s="3">
        <v>4.5000000000000009</v>
      </c>
      <c r="D58" s="3">
        <v>4.6399999999999997</v>
      </c>
      <c r="E58" s="11">
        <f t="shared" si="3"/>
        <v>103.0890443745498</v>
      </c>
      <c r="O58" s="7"/>
    </row>
    <row r="59" spans="3:15" x14ac:dyDescent="0.15">
      <c r="C59" s="3">
        <v>5.0000000000000009</v>
      </c>
      <c r="D59" s="3">
        <v>4.72</v>
      </c>
      <c r="E59" s="11">
        <f t="shared" si="3"/>
        <v>95.273035898162291</v>
      </c>
      <c r="O59" s="7"/>
    </row>
    <row r="60" spans="3:15" x14ac:dyDescent="0.15">
      <c r="C60" s="3">
        <v>5.4899999999999993</v>
      </c>
      <c r="D60" s="3">
        <v>4.8099999999999996</v>
      </c>
      <c r="E60" s="11">
        <f t="shared" si="3"/>
        <v>85.030032378295189</v>
      </c>
      <c r="O60" s="7"/>
    </row>
    <row r="61" spans="3:15" x14ac:dyDescent="0.15">
      <c r="C61" s="3">
        <v>6.0100000000000007</v>
      </c>
      <c r="D61" s="3">
        <v>4.9000000000000004</v>
      </c>
      <c r="E61" s="11">
        <f t="shared" si="3"/>
        <v>75.66141724882938</v>
      </c>
    </row>
    <row r="62" spans="3:15" x14ac:dyDescent="0.15">
      <c r="C62" s="3">
        <v>6.5000000000000009</v>
      </c>
      <c r="D62" s="3">
        <v>5</v>
      </c>
      <c r="E62" s="11">
        <f t="shared" si="3"/>
        <v>65.000000000000014</v>
      </c>
    </row>
    <row r="63" spans="3:15" x14ac:dyDescent="0.15">
      <c r="C63" s="3">
        <v>7.0000000000000009</v>
      </c>
      <c r="D63" s="3">
        <v>5.1100000000000003</v>
      </c>
      <c r="E63" s="11">
        <f t="shared" si="3"/>
        <v>54.337298164008274</v>
      </c>
    </row>
    <row r="64" spans="3:15" x14ac:dyDescent="0.15">
      <c r="C64" s="3">
        <v>7.4899999999999993</v>
      </c>
      <c r="D64" s="3">
        <v>5.23</v>
      </c>
      <c r="E64" s="11">
        <f t="shared" si="3"/>
        <v>44.104389786133538</v>
      </c>
    </row>
    <row r="65" spans="3:9" x14ac:dyDescent="0.15">
      <c r="C65" s="3">
        <v>7.97</v>
      </c>
      <c r="D65" s="3">
        <v>5.38</v>
      </c>
      <c r="E65" s="11">
        <f t="shared" si="3"/>
        <v>33.224489862585735</v>
      </c>
    </row>
    <row r="66" spans="3:9" x14ac:dyDescent="0.15">
      <c r="C66" s="3">
        <v>8.5100000000000016</v>
      </c>
      <c r="D66" s="3">
        <v>5.59</v>
      </c>
      <c r="E66" s="11">
        <f t="shared" si="3"/>
        <v>21.874068111362998</v>
      </c>
    </row>
    <row r="67" spans="3:9" x14ac:dyDescent="0.15">
      <c r="C67" s="3">
        <v>9</v>
      </c>
      <c r="D67" s="3">
        <v>5.91</v>
      </c>
      <c r="E67" s="11">
        <f t="shared" si="3"/>
        <v>11.072418937311411</v>
      </c>
      <c r="G67" t="s">
        <v>54</v>
      </c>
      <c r="H67" t="s">
        <v>58</v>
      </c>
    </row>
    <row r="68" spans="3:9" x14ac:dyDescent="0.15">
      <c r="C68" s="3">
        <v>9.18</v>
      </c>
      <c r="D68" s="3">
        <v>6.09</v>
      </c>
      <c r="E68" s="11">
        <f t="shared" si="3"/>
        <v>7.4617841383864283</v>
      </c>
      <c r="G68">
        <v>9.52</v>
      </c>
      <c r="H68">
        <f>G68/2</f>
        <v>4.76</v>
      </c>
    </row>
    <row r="69" spans="3:9" x14ac:dyDescent="0.15">
      <c r="C69" s="3">
        <v>9.3499999999999979</v>
      </c>
      <c r="D69" s="3">
        <v>6.46</v>
      </c>
      <c r="E69" s="11">
        <f t="shared" si="3"/>
        <v>3.2419895517311685</v>
      </c>
    </row>
    <row r="70" spans="3:9" ht="15.75" x14ac:dyDescent="0.15">
      <c r="C70" s="3">
        <v>9.5</v>
      </c>
      <c r="D70" s="3">
        <v>7.02</v>
      </c>
      <c r="E70" s="11">
        <f t="shared" si="3"/>
        <v>0.90724295672036381</v>
      </c>
      <c r="G70" t="s">
        <v>55</v>
      </c>
    </row>
    <row r="71" spans="3:9" x14ac:dyDescent="0.15">
      <c r="C71" s="3">
        <v>9.5799999999999983</v>
      </c>
      <c r="D71" s="3">
        <v>9.66</v>
      </c>
      <c r="E71" s="11">
        <f t="shared" si="3"/>
        <v>2.0958756357436635E-3</v>
      </c>
      <c r="G71" s="7">
        <f>B5*G68/B9</f>
        <v>9.4927524055145984E-2</v>
      </c>
      <c r="I71" t="s">
        <v>65</v>
      </c>
    </row>
    <row r="72" spans="3:9" x14ac:dyDescent="0.15">
      <c r="C72" s="3">
        <v>9.7100000000000009</v>
      </c>
      <c r="D72" s="3">
        <v>10.199999999999999</v>
      </c>
      <c r="E72" s="11">
        <f t="shared" si="3"/>
        <v>6.126595814902663E-4</v>
      </c>
      <c r="I72" s="14">
        <f>G71/溶液調製!B32</f>
        <v>0.96290503707964792</v>
      </c>
    </row>
    <row r="73" spans="3:9" x14ac:dyDescent="0.15">
      <c r="C73" s="3">
        <v>9.91</v>
      </c>
      <c r="D73" s="3">
        <v>10.6</v>
      </c>
      <c r="E73" s="11">
        <f t="shared" si="3"/>
        <v>2.4892794536259899E-4</v>
      </c>
      <c r="G73" t="s">
        <v>41</v>
      </c>
    </row>
    <row r="74" spans="3:9" x14ac:dyDescent="0.15">
      <c r="C74" s="3">
        <v>10.3</v>
      </c>
      <c r="D74" s="3">
        <v>10.92</v>
      </c>
      <c r="E74" s="11">
        <f t="shared" si="3"/>
        <v>1.2383323676559325E-4</v>
      </c>
      <c r="G74" s="13">
        <v>4.68</v>
      </c>
      <c r="H74" s="12" t="s">
        <v>62</v>
      </c>
    </row>
    <row r="75" spans="3:9" x14ac:dyDescent="0.15">
      <c r="C75" s="3">
        <v>10.649999999999999</v>
      </c>
      <c r="D75" s="3">
        <v>11.09</v>
      </c>
      <c r="E75" s="11">
        <f t="shared" si="3"/>
        <v>8.6566449971476486E-5</v>
      </c>
    </row>
    <row r="76" spans="3:9" x14ac:dyDescent="0.15">
      <c r="G76" s="3">
        <f>-LOG10(21.578/E45)</f>
        <v>4.6659888112386509</v>
      </c>
      <c r="H76" s="12" t="s">
        <v>61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溶液調製</vt:lpstr>
      <vt:lpstr>酢酸希釈</vt:lpstr>
      <vt:lpstr>pH滴定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吉村洋介</dc:creator>
  <cp:lastModifiedBy>洋介 吉村</cp:lastModifiedBy>
  <dcterms:created xsi:type="dcterms:W3CDTF">2018-06-02T01:21:20Z</dcterms:created>
  <dcterms:modified xsi:type="dcterms:W3CDTF">2020-09-19T03:28:02Z</dcterms:modified>
</cp:coreProperties>
</file>